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6" yWindow="65436" windowWidth="22300" windowHeight="13780" tabRatio="171" activeTab="0"/>
  </bookViews>
  <sheets>
    <sheet name="AmDjenaTemplate" sheetId="1" r:id="rId1"/>
    <sheet name="AmDjenaEconomicAnalysis" sheetId="2" r:id="rId2"/>
    <sheet name="AmDjenaSensitvityAnalysis" sheetId="3" r:id="rId3"/>
    <sheet name="AmDjenaLoanSolution" sheetId="4" r:id="rId4"/>
    <sheet name="Sheet5" sheetId="5" r:id="rId5"/>
    <sheet name="Sheet6" sheetId="6" r:id="rId6"/>
    <sheet name="Sheet7" sheetId="7" r:id="rId7"/>
    <sheet name="Sheet8" sheetId="8" r:id="rId8"/>
  </sheets>
  <externalReferences>
    <externalReference r:id="rId11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<sst xmlns="http://schemas.openxmlformats.org/spreadsheetml/2006/main" count="227" uniqueCount="136">
  <si>
    <t>participation can be justified. Failure to adhere to this principle translates into an increase in an economy's capital-output ratio, which in turn,</t>
  </si>
  <si>
    <t>results in a lower rate of economic growth than would occur.</t>
  </si>
  <si>
    <t>Now consider the external benefits of the Am Djena Livestock Project:</t>
  </si>
  <si>
    <t>Project Evaluation:</t>
  </si>
  <si>
    <t>Present Value of Costs</t>
  </si>
  <si>
    <t>Present Value of Benefits</t>
  </si>
  <si>
    <t>Net Present Value (NPV)</t>
  </si>
  <si>
    <t>Total Costs</t>
  </si>
  <si>
    <t xml:space="preserve"> Am Djena Livestock Project Financial Analysis</t>
  </si>
  <si>
    <t>Loan Periodic Payments</t>
  </si>
  <si>
    <t>Project Evaluation</t>
  </si>
  <si>
    <t>Annual Present Value of Cash Flow (DCF)</t>
  </si>
  <si>
    <t>Initial Year Cost Loan Proportion:</t>
  </si>
  <si>
    <t xml:space="preserve"> (of Cash Flow)</t>
  </si>
  <si>
    <t>Loan Level</t>
  </si>
  <si>
    <t>Loan Interest Rate</t>
  </si>
  <si>
    <t>Loan time periods</t>
  </si>
  <si>
    <t>Frequency of Loan Payments</t>
  </si>
  <si>
    <t>Loan Periodic Payments (PMT)</t>
  </si>
  <si>
    <t>Formula solution:</t>
  </si>
  <si>
    <t>Total Loan Payments</t>
  </si>
  <si>
    <t>Total Interest Payments</t>
  </si>
  <si>
    <t xml:space="preserve"> = interest share of total loan payments</t>
  </si>
  <si>
    <t>Year Zero Cash Flow Funding Gap</t>
  </si>
  <si>
    <t>In terms of the project dossier, account should be taken of not just sensitivity tests based on market prices, but also inclusion of consideration of</t>
  </si>
  <si>
    <t>external costs and benefits of a project.  In turn, one can establish the expected NPV and expected IRR of a project based on an economic</t>
  </si>
  <si>
    <t>Annualized Cash Flow</t>
  </si>
  <si>
    <t>undertake sensitivity tests in which key variables take on alternative</t>
  </si>
  <si>
    <t xml:space="preserve">          (750 Litres x 5)</t>
  </si>
  <si>
    <t>Marketing Program</t>
  </si>
  <si>
    <t xml:space="preserve">          (1500 Litres)</t>
  </si>
  <si>
    <t>Vehicle Maintenance</t>
  </si>
  <si>
    <t>B.  Capital Expenditures</t>
  </si>
  <si>
    <t>Motorcycles for Extension Program</t>
  </si>
  <si>
    <t>Motorcycles for Vaccination Program</t>
  </si>
  <si>
    <t>Fencing</t>
  </si>
  <si>
    <t>Syringes, etc.</t>
  </si>
  <si>
    <t>Marketing Building</t>
  </si>
  <si>
    <t>Truck</t>
  </si>
  <si>
    <t>C.  Production Costs</t>
  </si>
  <si>
    <t>Vaccines</t>
  </si>
  <si>
    <t>D.  Total Costs:</t>
  </si>
  <si>
    <t>E.  Benefits:</t>
  </si>
  <si>
    <t>F.  Net Benefits (=Cash Flow)</t>
  </si>
  <si>
    <t>G.  Financial Evaluation:</t>
  </si>
  <si>
    <t>a.  Discount Rate:</t>
  </si>
  <si>
    <t>Present Worth Factor:</t>
  </si>
  <si>
    <t>the corresponding NPV and IRR solutions.  In turn, one can then</t>
  </si>
  <si>
    <t xml:space="preserve"> Am Djena Livestock Project Economic Analysis</t>
  </si>
  <si>
    <t>Net Present Value (NPV):</t>
  </si>
  <si>
    <t>Benefit-Cost Ratio:</t>
  </si>
  <si>
    <t>Internal Rate of Return (IRR):</t>
  </si>
  <si>
    <t>(optional)</t>
  </si>
  <si>
    <t>A.  Operating &amp; Maintenance Costs</t>
  </si>
  <si>
    <r>
      <t xml:space="preserve"> Annual Present Value of Costs (</t>
    </r>
    <r>
      <rPr>
        <b/>
        <sz val="12"/>
        <rFont val="Helv"/>
        <family val="0"/>
      </rPr>
      <t>APVC</t>
    </r>
    <r>
      <rPr>
        <sz val="12"/>
        <rFont val="Helv"/>
        <family val="0"/>
      </rPr>
      <t>):</t>
    </r>
  </si>
  <si>
    <r>
      <t>Present Value of Costs (</t>
    </r>
    <r>
      <rPr>
        <b/>
        <sz val="12"/>
        <rFont val="Helv"/>
        <family val="0"/>
      </rPr>
      <t>PVC</t>
    </r>
    <r>
      <rPr>
        <sz val="12"/>
        <rFont val="Helv"/>
        <family val="0"/>
      </rPr>
      <t>):</t>
    </r>
  </si>
  <si>
    <r>
      <t xml:space="preserve"> Annual Present Value of Benefits (</t>
    </r>
    <r>
      <rPr>
        <b/>
        <sz val="12"/>
        <rFont val="Helv"/>
        <family val="0"/>
      </rPr>
      <t>APVB</t>
    </r>
    <r>
      <rPr>
        <sz val="12"/>
        <rFont val="Helv"/>
        <family val="0"/>
      </rPr>
      <t>):</t>
    </r>
  </si>
  <si>
    <r>
      <t>Present Value of Benefits (</t>
    </r>
    <r>
      <rPr>
        <b/>
        <sz val="12"/>
        <rFont val="Helv"/>
        <family val="0"/>
      </rPr>
      <t>PVB</t>
    </r>
    <r>
      <rPr>
        <sz val="12"/>
        <rFont val="Helv"/>
        <family val="0"/>
      </rPr>
      <t>):</t>
    </r>
  </si>
  <si>
    <t xml:space="preserve"> Net Present Value (NPV):</t>
  </si>
  <si>
    <t>Sensitivity Tests:</t>
  </si>
  <si>
    <t>Salary Adjustment Rate:</t>
  </si>
  <si>
    <t>Fuel Price Adjustment Rate:</t>
  </si>
  <si>
    <t>Vaccine Price Adjustment Rate:</t>
  </si>
  <si>
    <t>Motorcycle Unit Price:</t>
  </si>
  <si>
    <t>Unit Price of Fencing:</t>
  </si>
  <si>
    <t>Syringes Unit Price:</t>
  </si>
  <si>
    <t>Unit Price of Marketing Building:</t>
  </si>
  <si>
    <t>evaluation, just as one does so for a financial evaluation.  The key difference is that when economic costs and benefits are taken into account,</t>
  </si>
  <si>
    <t>they provide a basis for the extent to which public financing should be considered for the project.  The golden rule is that to the extent that the</t>
  </si>
  <si>
    <t>net social benefits exceed the net private benefits from a purely financial evaluation, one then has a principled basis on which public finance</t>
  </si>
  <si>
    <t xml:space="preserve">values, based on some underlying probability distribution.  </t>
  </si>
  <si>
    <t xml:space="preserve">     From various sensitivity tests, one can then derive the corresponding</t>
  </si>
  <si>
    <t>Expected Net Present Value (ENPV) and Expected Internal Rate of Return</t>
  </si>
  <si>
    <t>(EIRR).  The former is obtained by multiplying the various NPV values</t>
  </si>
  <si>
    <t xml:space="preserve">from a given distribution by their corresponding probability values.  One </t>
  </si>
  <si>
    <t>then undertakes a similar calculation to derive the EIRR, as shown below:</t>
  </si>
  <si>
    <t>IRR</t>
  </si>
  <si>
    <t>NPV</t>
  </si>
  <si>
    <t>Prob.</t>
  </si>
  <si>
    <t>ENPV:</t>
  </si>
  <si>
    <t>EIRR:</t>
  </si>
  <si>
    <t>Cash Flow:</t>
  </si>
  <si>
    <t>Total Costs:</t>
  </si>
  <si>
    <t>Total Benefits:</t>
  </si>
  <si>
    <t>Discount Rate:</t>
  </si>
  <si>
    <t>Benefit-Cost Ratio</t>
  </si>
  <si>
    <t>Total Benefits</t>
  </si>
  <si>
    <t>Internal Rate of Return</t>
  </si>
  <si>
    <t>Cash Flow</t>
  </si>
  <si>
    <t>The Am Njena Livestock Project Financial Evaluation Tableau</t>
  </si>
  <si>
    <t>Payment</t>
  </si>
  <si>
    <t>Year 0</t>
  </si>
  <si>
    <t>Year 1</t>
  </si>
  <si>
    <t>Year 2</t>
  </si>
  <si>
    <t>Year 3</t>
  </si>
  <si>
    <t>Year 4</t>
  </si>
  <si>
    <t>Year 5</t>
  </si>
  <si>
    <t>Object Code:</t>
  </si>
  <si>
    <t>Unit</t>
  </si>
  <si>
    <t>Unit Price</t>
  </si>
  <si>
    <t>Frequency</t>
  </si>
  <si>
    <t>Total</t>
  </si>
  <si>
    <t>A.  Operating and Maintenance Costs</t>
  </si>
  <si>
    <t>Salaries</t>
  </si>
  <si>
    <t xml:space="preserve">       Manager</t>
  </si>
  <si>
    <t>Accountant</t>
  </si>
  <si>
    <t>Secretary/Deputy administrator</t>
  </si>
  <si>
    <t>Workers</t>
  </si>
  <si>
    <t>Extension Agents</t>
  </si>
  <si>
    <t>Vaccinators</t>
  </si>
  <si>
    <t>Mechanic/Chauffeur</t>
  </si>
  <si>
    <t>Gasoline for:</t>
  </si>
  <si>
    <t>Extension Program</t>
  </si>
  <si>
    <t xml:space="preserve">          (250 Litres x 5)</t>
  </si>
  <si>
    <t>Vaccination Program</t>
  </si>
  <si>
    <t>Truck Unit Price:</t>
  </si>
  <si>
    <t xml:space="preserve"> Vehicle Cost Maintenance Rate:</t>
  </si>
  <si>
    <t>Livestock Market Value Rate:</t>
  </si>
  <si>
    <t>Foreign Exchange Rate Coefficient:</t>
  </si>
  <si>
    <t>Prob.Sum</t>
  </si>
  <si>
    <t xml:space="preserve">     Financial evaluation consists of taking given market prices, deriving</t>
  </si>
  <si>
    <t>Costs:</t>
  </si>
  <si>
    <t>Capital Costs</t>
  </si>
  <si>
    <t>Operation and Maintenance Costs</t>
  </si>
  <si>
    <t>Production Costs</t>
  </si>
  <si>
    <t>Benefits:</t>
  </si>
  <si>
    <t>Net Benefits (Cash Flow):</t>
  </si>
  <si>
    <t>Discount Rate</t>
  </si>
  <si>
    <t>Present Worth Factor</t>
  </si>
  <si>
    <t>Annual Present Value of Costs</t>
  </si>
  <si>
    <t>Annual Present Value of Benefits</t>
  </si>
  <si>
    <t>Annual Present Value of Cash Flow</t>
  </si>
  <si>
    <t>Consider the effects of price distortions in the context of the Am Djena Livestock Project.  First, let us take up the negative, or external costs.</t>
  </si>
  <si>
    <t>External Op &amp; Maint. External Cost Factor</t>
  </si>
  <si>
    <t>Production External Cost Factor</t>
  </si>
  <si>
    <t>External Benefit Factor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</si>
</sst>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F\A\ ###\ ###\ ###"/>
    <numFmt numFmtId="165" formatCode="0.0000000%"/>
    <numFmt numFmtId="166" formatCode="0.0000"/>
    <numFmt numFmtId="167" formatCode="0.00000000"/>
    <numFmt numFmtId="168" formatCode="0.000000%"/>
    <numFmt numFmtId="169" formatCode="0.0000000"/>
    <numFmt numFmtId="170" formatCode="0.0000000000"/>
  </numFmts>
  <fonts count="18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2"/>
      <color indexed="12"/>
      <name val="Helv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b/>
      <sz val="15.25"/>
      <color indexed="12"/>
      <name val="Helv"/>
      <family val="0"/>
    </font>
    <font>
      <sz val="10.75"/>
      <name val="Helv"/>
      <family val="0"/>
    </font>
    <font>
      <sz val="8.75"/>
      <name val="Helv"/>
      <family val="0"/>
    </font>
    <font>
      <b/>
      <sz val="10"/>
      <name val="Helv"/>
      <family val="0"/>
    </font>
    <font>
      <b/>
      <sz val="12"/>
      <color indexed="8"/>
      <name val="Helv"/>
      <family val="0"/>
    </font>
    <font>
      <b/>
      <sz val="14"/>
      <color indexed="12"/>
      <name val="Helv"/>
      <family val="0"/>
    </font>
    <font>
      <sz val="1"/>
      <name val="Helv"/>
      <family val="0"/>
    </font>
    <font>
      <sz val="9"/>
      <name val="Helv"/>
      <family val="0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2" fontId="0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right"/>
    </xf>
    <xf numFmtId="165" fontId="1" fillId="0" borderId="7" xfId="0" applyNumberFormat="1" applyFont="1" applyBorder="1" applyAlignment="1">
      <alignment/>
    </xf>
    <xf numFmtId="166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64" fontId="1" fillId="0" borderId="7" xfId="0" applyNumberFormat="1" applyFont="1" applyBorder="1" applyAlignment="1">
      <alignment/>
    </xf>
    <xf numFmtId="0" fontId="0" fillId="2" borderId="7" xfId="0" applyFont="1" applyFill="1" applyBorder="1" applyAlignment="1">
      <alignment/>
    </xf>
    <xf numFmtId="164" fontId="14" fillId="0" borderId="7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0" fontId="1" fillId="0" borderId="7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3" borderId="7" xfId="0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6" fontId="1" fillId="0" borderId="7" xfId="0" applyNumberFormat="1" applyFont="1" applyBorder="1" applyAlignment="1">
      <alignment/>
    </xf>
    <xf numFmtId="0" fontId="0" fillId="3" borderId="8" xfId="0" applyFont="1" applyFill="1" applyBorder="1" applyAlignment="1">
      <alignment/>
    </xf>
    <xf numFmtId="166" fontId="1" fillId="0" borderId="7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0" fontId="0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2" fontId="0" fillId="0" borderId="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66" fontId="0" fillId="0" borderId="7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1" fillId="4" borderId="0" xfId="0" applyFont="1" applyFill="1" applyAlignment="1">
      <alignment/>
    </xf>
    <xf numFmtId="164" fontId="1" fillId="4" borderId="6" xfId="0" applyNumberFormat="1" applyFont="1" applyFill="1" applyBorder="1" applyAlignment="1">
      <alignment/>
    </xf>
    <xf numFmtId="164" fontId="1" fillId="4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1" fillId="0" borderId="0" xfId="0" applyFont="1" applyAlignment="1">
      <alignment horizontal="left"/>
    </xf>
    <xf numFmtId="167" fontId="1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68" fontId="1" fillId="0" borderId="7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164" fontId="1" fillId="6" borderId="7" xfId="0" applyNumberFormat="1" applyFont="1" applyFill="1" applyBorder="1" applyAlignment="1">
      <alignment/>
    </xf>
    <xf numFmtId="164" fontId="1" fillId="0" borderId="8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0" fillId="0" borderId="7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7" xfId="0" applyNumberFormat="1" applyBorder="1" applyAlignment="1">
      <alignment/>
    </xf>
    <xf numFmtId="0" fontId="0" fillId="2" borderId="7" xfId="0" applyFill="1" applyBorder="1" applyAlignment="1">
      <alignment/>
    </xf>
    <xf numFmtId="0" fontId="0" fillId="4" borderId="7" xfId="0" applyFill="1" applyBorder="1" applyAlignment="1">
      <alignment/>
    </xf>
    <xf numFmtId="0" fontId="0" fillId="6" borderId="7" xfId="0" applyFill="1" applyBorder="1" applyAlignment="1">
      <alignment/>
    </xf>
    <xf numFmtId="166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164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4" fontId="1" fillId="4" borderId="18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166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164" fontId="1" fillId="7" borderId="7" xfId="0" applyNumberFormat="1" applyFont="1" applyFill="1" applyBorder="1" applyAlignment="1">
      <alignment/>
    </xf>
    <xf numFmtId="167" fontId="1" fillId="8" borderId="10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66" fontId="0" fillId="0" borderId="7" xfId="0" applyNumberFormat="1" applyFont="1" applyBorder="1" applyAlignment="1">
      <alignment/>
    </xf>
    <xf numFmtId="168" fontId="1" fillId="8" borderId="7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7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3" borderId="7" xfId="0" applyNumberFormat="1" applyFont="1" applyFill="1" applyBorder="1" applyAlignment="1">
      <alignment/>
    </xf>
    <xf numFmtId="164" fontId="13" fillId="0" borderId="7" xfId="0" applyNumberFormat="1" applyFont="1" applyBorder="1" applyAlignment="1">
      <alignment/>
    </xf>
    <xf numFmtId="10" fontId="1" fillId="0" borderId="7" xfId="0" applyNumberFormat="1" applyFont="1" applyBorder="1" applyAlignment="1">
      <alignment horizontal="center"/>
    </xf>
  </cellXfs>
  <cellStyles count="23">
    <cellStyle name="Normal" xfId="0"/>
    <cellStyle name="Comma" xfId="15"/>
    <cellStyle name="Comma [0]" xfId="16"/>
    <cellStyle name="Comma [0]_AmDjenaCaseStudy.xls Chart 1" xfId="17"/>
    <cellStyle name="Comma [0]_Workbook2 Chart 1" xfId="18"/>
    <cellStyle name="Comma [0]_Workbook2 Chart 2" xfId="19"/>
    <cellStyle name="Comma_AmDjenaCaseStudy.xls Chart 1" xfId="20"/>
    <cellStyle name="Comma_Workbook2 Chart 1" xfId="21"/>
    <cellStyle name="Comma_Workbook2 Chart 2" xfId="22"/>
    <cellStyle name="Currency" xfId="23"/>
    <cellStyle name="Currency [0]" xfId="24"/>
    <cellStyle name="Currency [0]_AmDjenaCaseStudy.xls Chart 1" xfId="25"/>
    <cellStyle name="Currency [0]_Workbook2 Chart 1" xfId="26"/>
    <cellStyle name="Currency [0]_Workbook2 Chart 2" xfId="27"/>
    <cellStyle name="Currency_AmDjenaCaseStudy.xls Chart 1" xfId="28"/>
    <cellStyle name="Currency_Workbook2 Chart 1" xfId="29"/>
    <cellStyle name="Currency_Workbook2 Chart 2" xfId="30"/>
    <cellStyle name="Followed Hyperlink" xfId="31"/>
    <cellStyle name="Hyperlink" xfId="32"/>
    <cellStyle name="Normal_AmDjenaCaseStudy.xls Chart 1" xfId="33"/>
    <cellStyle name="Normal_Workbook2 Chart 1" xfId="34"/>
    <cellStyle name="Normal_Workbook2 Chart 2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Am Djena Cash Flow Profile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25"/>
          <c:y val="0.16075"/>
          <c:w val="0.93325"/>
          <c:h val="0.73425"/>
        </c:manualLayout>
      </c:layout>
      <c:barChart>
        <c:barDir val="col"/>
        <c:grouping val="clustered"/>
        <c:varyColors val="0"/>
        <c:ser>
          <c:idx val="1"/>
          <c:order val="0"/>
          <c:tx>
            <c:v>Present Value of Costs</c:v>
          </c:tx>
          <c:spPr>
            <a:pattFill prst="pct70">
              <a:fgClr>
                <a:srgbClr val="DD2D32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'[1]Am Djena Financial Eval.'!$G$121:$G$127</c:f>
              <c:numCache>
                <c:ptCount val="7"/>
                <c:pt idx="0">
                  <c:v>23952500</c:v>
                </c:pt>
                <c:pt idx="1">
                  <c:v>16956818.18181818</c:v>
                </c:pt>
                <c:pt idx="2">
                  <c:v>15415289.256198345</c:v>
                </c:pt>
                <c:pt idx="3">
                  <c:v>11116641.622839967</c:v>
                </c:pt>
                <c:pt idx="4">
                  <c:v>9593777.747421622</c:v>
                </c:pt>
                <c:pt idx="5">
                  <c:v>8263686.658263528</c:v>
                </c:pt>
              </c:numCache>
            </c:numRef>
          </c:val>
        </c:ser>
        <c:ser>
          <c:idx val="2"/>
          <c:order val="1"/>
          <c:tx>
            <c:v>Present Value of Benefits</c:v>
          </c:tx>
          <c:spPr>
            <a:pattFill prst="pct70">
              <a:fgClr>
                <a:srgbClr val="FFF58C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'[1]Am Djena Financial Eval.'!$H$121:$H$126</c:f>
              <c:numCache>
                <c:ptCount val="6"/>
                <c:pt idx="0">
                  <c:v>7500000</c:v>
                </c:pt>
                <c:pt idx="1">
                  <c:v>19090909.09090909</c:v>
                </c:pt>
                <c:pt idx="2">
                  <c:v>17355371.900826443</c:v>
                </c:pt>
                <c:pt idx="3">
                  <c:v>15777610.818933127</c:v>
                </c:pt>
                <c:pt idx="4">
                  <c:v>14343282.562666481</c:v>
                </c:pt>
                <c:pt idx="5">
                  <c:v>13039347.784242254</c:v>
                </c:pt>
              </c:numCache>
            </c:numRef>
          </c:val>
        </c:ser>
        <c:axId val="46391095"/>
        <c:axId val="14866672"/>
      </c:bar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6672"/>
        <c:crosses val="autoZero"/>
        <c:auto val="1"/>
        <c:lblOffset val="100"/>
        <c:noMultiLvlLbl val="0"/>
      </c:catAx>
      <c:valAx>
        <c:axId val="14866672"/>
        <c:scaling>
          <c:orientation val="minMax"/>
        </c:scaling>
        <c:axPos val="l"/>
        <c:majorGridlines/>
        <c:delete val="0"/>
        <c:numFmt formatCode="\C\F\A\ ###\ ###\ 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4639109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25"/>
          <c:y val="0.89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Am Djena Net Present Value Discount Rate Sensitivity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25"/>
          <c:y val="0.17775"/>
          <c:w val="0.9615"/>
          <c:h val="0.67725"/>
        </c:manualLayout>
      </c:layout>
      <c:lineChart>
        <c:grouping val="standard"/>
        <c:varyColors val="0"/>
        <c:ser>
          <c:idx val="1"/>
          <c:order val="0"/>
          <c:tx>
            <c:v>Net Present Value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'[1]Am Djena Financial Eval.'!$F$135:$F$138</c:f>
              <c:numCache>
                <c:ptCount val="4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</c:numCache>
            </c:numRef>
          </c:cat>
          <c:val>
            <c:numRef>
              <c:f>'[1]Am Djena Financial Eval.'!$G$135:$G$138</c:f>
              <c:numCache>
                <c:ptCount val="4"/>
                <c:pt idx="0">
                  <c:v>5018661.450218782</c:v>
                </c:pt>
                <c:pt idx="1">
                  <c:v>1807808.6910357475</c:v>
                </c:pt>
                <c:pt idx="2">
                  <c:v>-757342.3693392277</c:v>
                </c:pt>
                <c:pt idx="3">
                  <c:v>-2831500.2893518656</c:v>
                </c:pt>
              </c:numCache>
            </c:numRef>
          </c:val>
          <c:smooth val="0"/>
        </c:ser>
        <c:marker val="1"/>
        <c:axId val="66691185"/>
        <c:axId val="63349754"/>
      </c:lineChart>
      <c:catAx>
        <c:axId val="66691185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Helv"/>
                <a:ea typeface="Helv"/>
                <a:cs typeface="Helv"/>
              </a:defRPr>
            </a:pPr>
          </a:p>
        </c:txPr>
        <c:crossAx val="63349754"/>
        <c:crosses val="autoZero"/>
        <c:auto val="1"/>
        <c:lblOffset val="100"/>
        <c:noMultiLvlLbl val="0"/>
      </c:catAx>
      <c:valAx>
        <c:axId val="63349754"/>
        <c:scaling>
          <c:orientation val="minMax"/>
        </c:scaling>
        <c:axPos val="l"/>
        <c:majorGridlines/>
        <c:delete val="0"/>
        <c:numFmt formatCode="\C\F\A\ ###\ ###\ 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6669118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65"/>
          <c:y val="0.863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Am Djena Livestock Project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25"/>
          <c:y val="0.135"/>
          <c:w val="0.9402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'[1]Am Djena Eval'!$D$22</c:f>
              <c:strCache>
                <c:ptCount val="1"/>
                <c:pt idx="0">
                  <c:v>Cash Flow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0000D4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D4"/>
                  </a:solidFill>
                </c14:spPr>
              </c14:invertSolidFillFmt>
            </c:ext>
          </c:extLst>
          <c:cat>
            <c:numRef>
              <c:f>'[1]Am Djena Eval'!$E$21:$J$21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'[1]Am Djena Eval'!$E$22:$J$22</c:f>
              <c:numCache>
                <c:ptCount val="6"/>
                <c:pt idx="0">
                  <c:v>-16452500</c:v>
                </c:pt>
                <c:pt idx="1">
                  <c:v>2347500</c:v>
                </c:pt>
                <c:pt idx="2">
                  <c:v>2347500</c:v>
                </c:pt>
                <c:pt idx="3">
                  <c:v>6203750</c:v>
                </c:pt>
                <c:pt idx="4">
                  <c:v>6953750</c:v>
                </c:pt>
                <c:pt idx="5">
                  <c:v>7691250</c:v>
                </c:pt>
              </c:numCache>
            </c:numRef>
          </c:val>
        </c:ser>
        <c:ser>
          <c:idx val="1"/>
          <c:order val="1"/>
          <c:tx>
            <c:strRef>
              <c:f>'[1]Am Djena Eval'!$D$23</c:f>
              <c:strCache>
                <c:ptCount val="1"/>
                <c:pt idx="0">
                  <c:v>Annualized Cash Flow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DD0806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D0806"/>
                  </a:solidFill>
                </c14:spPr>
              </c14:invertSolidFillFmt>
            </c:ext>
          </c:extLst>
          <c:cat>
            <c:numRef>
              <c:f>'[1]Am Djena Eval'!$E$21:$J$21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'[1]Am Djena Eval'!$E$23:$J$23</c:f>
              <c:numCache>
                <c:ptCount val="6"/>
                <c:pt idx="0">
                  <c:v>-16452500</c:v>
                </c:pt>
                <c:pt idx="1">
                  <c:v>2041304.3478260871</c:v>
                </c:pt>
                <c:pt idx="2">
                  <c:v>1775047.2589792062</c:v>
                </c:pt>
                <c:pt idx="3">
                  <c:v>4079066.3269499475</c:v>
                </c:pt>
                <c:pt idx="4">
                  <c:v>3975829.131542556</c:v>
                </c:pt>
                <c:pt idx="5">
                  <c:v>3823910.565362972</c:v>
                </c:pt>
              </c:numCache>
            </c:numRef>
          </c:val>
        </c:ser>
        <c:axId val="33276875"/>
        <c:axId val="31056420"/>
      </c:bar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056420"/>
        <c:crosses val="autoZero"/>
        <c:auto val="0"/>
        <c:lblOffset val="100"/>
        <c:noMultiLvlLbl val="0"/>
      </c:catAx>
      <c:valAx>
        <c:axId val="31056420"/>
        <c:scaling>
          <c:orientation val="minMax"/>
        </c:scaling>
        <c:axPos val="l"/>
        <c:majorGridlines/>
        <c:delete val="0"/>
        <c:numFmt formatCode="\C\F\A\ ###\ ###\ 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3327687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375"/>
          <c:y val="0.8795"/>
          <c:w val="0.4765"/>
          <c:h val="0.068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44</xdr:row>
      <xdr:rowOff>28575</xdr:rowOff>
    </xdr:from>
    <xdr:to>
      <xdr:col>10</xdr:col>
      <xdr:colOff>685800</xdr:colOff>
      <xdr:row>61</xdr:row>
      <xdr:rowOff>47625</xdr:rowOff>
    </xdr:to>
    <xdr:graphicFrame>
      <xdr:nvGraphicFramePr>
        <xdr:cNvPr id="1" name="Chart 1"/>
        <xdr:cNvGraphicFramePr/>
      </xdr:nvGraphicFramePr>
      <xdr:xfrm>
        <a:off x="4972050" y="7572375"/>
        <a:ext cx="79914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61</xdr:row>
      <xdr:rowOff>57150</xdr:rowOff>
    </xdr:from>
    <xdr:to>
      <xdr:col>10</xdr:col>
      <xdr:colOff>695325</xdr:colOff>
      <xdr:row>79</xdr:row>
      <xdr:rowOff>66675</xdr:rowOff>
    </xdr:to>
    <xdr:graphicFrame>
      <xdr:nvGraphicFramePr>
        <xdr:cNvPr id="2" name="Chart 2"/>
        <xdr:cNvGraphicFramePr/>
      </xdr:nvGraphicFramePr>
      <xdr:xfrm>
        <a:off x="5000625" y="10591800"/>
        <a:ext cx="79724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9525</xdr:rowOff>
    </xdr:from>
    <xdr:to>
      <xdr:col>7</xdr:col>
      <xdr:colOff>57150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2657475" y="5381625"/>
        <a:ext cx="61055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.%20P.%20LeBel%20Files\05.%20PLB%20Research,Teaching,%20Consulting\A.%20Gestion\%2019.%20English%20Documents\Financial%20Analysis\Am%20Djena%20Case%20Study\A.%20P.%20LeBel%20Files\05.%20PLB%20Research,Teaching,%20Consulting\A.%20Gestion\%2019.%20English%20Documen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 Djena Eval"/>
      <sheetName val="Am Djena Financial Eval."/>
    </sheetNames>
    <sheetDataSet>
      <sheetData sheetId="0">
        <row r="21">
          <cell r="E21">
            <v>0</v>
          </cell>
          <cell r="F21">
            <v>1</v>
          </cell>
          <cell r="G21">
            <v>2</v>
          </cell>
          <cell r="H21">
            <v>3</v>
          </cell>
          <cell r="I21">
            <v>4</v>
          </cell>
          <cell r="J21">
            <v>5</v>
          </cell>
        </row>
        <row r="22">
          <cell r="D22" t="str">
            <v>Cash Flow</v>
          </cell>
          <cell r="E22">
            <v>-16452500</v>
          </cell>
          <cell r="F22">
            <v>2347500</v>
          </cell>
          <cell r="G22">
            <v>2347500</v>
          </cell>
          <cell r="H22">
            <v>6203750</v>
          </cell>
          <cell r="I22">
            <v>6953750</v>
          </cell>
          <cell r="J22">
            <v>7691250</v>
          </cell>
        </row>
        <row r="23">
          <cell r="D23" t="str">
            <v>Annualized Cash Flow</v>
          </cell>
          <cell r="E23">
            <v>-16452500</v>
          </cell>
          <cell r="F23">
            <v>2041304.3478260871</v>
          </cell>
          <cell r="G23">
            <v>1775047.2589792062</v>
          </cell>
          <cell r="H23">
            <v>4079066.3269499475</v>
          </cell>
          <cell r="I23">
            <v>3975829.131542556</v>
          </cell>
          <cell r="J23">
            <v>3823910.565362972</v>
          </cell>
        </row>
      </sheetData>
      <sheetData sheetId="1">
        <row r="121">
          <cell r="G121">
            <v>23952500</v>
          </cell>
          <cell r="H121">
            <v>7500000</v>
          </cell>
        </row>
        <row r="122">
          <cell r="G122">
            <v>16956818.18181818</v>
          </cell>
          <cell r="H122">
            <v>19090909.09090909</v>
          </cell>
        </row>
        <row r="123">
          <cell r="G123">
            <v>15415289.256198345</v>
          </cell>
          <cell r="H123">
            <v>17355371.900826443</v>
          </cell>
        </row>
        <row r="124">
          <cell r="G124">
            <v>11116641.622839967</v>
          </cell>
          <cell r="H124">
            <v>15777610.818933127</v>
          </cell>
        </row>
        <row r="125">
          <cell r="G125">
            <v>9593777.747421622</v>
          </cell>
          <cell r="H125">
            <v>14343282.562666481</v>
          </cell>
        </row>
        <row r="126">
          <cell r="G126">
            <v>8263686.658263528</v>
          </cell>
          <cell r="H126">
            <v>13039347.784242254</v>
          </cell>
        </row>
        <row r="135">
          <cell r="F135">
            <v>0.05</v>
          </cell>
          <cell r="G135">
            <v>5018661.450218782</v>
          </cell>
        </row>
        <row r="136">
          <cell r="F136">
            <v>0.1</v>
          </cell>
          <cell r="G136">
            <v>1807808.6910357475</v>
          </cell>
        </row>
        <row r="137">
          <cell r="F137">
            <v>0.15</v>
          </cell>
          <cell r="G137">
            <v>-757342.3693392277</v>
          </cell>
        </row>
        <row r="138">
          <cell r="F138">
            <v>0.2</v>
          </cell>
          <cell r="G138">
            <v>-2831500.2893518656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="115" zoomScaleNormal="115" workbookViewId="0" topLeftCell="A1">
      <selection activeCell="A2" sqref="A2"/>
    </sheetView>
  </sheetViews>
  <sheetFormatPr defaultColWidth="11.5546875" defaultRowHeight="15.75"/>
  <cols>
    <col min="1" max="1" width="32.10546875" style="1" customWidth="1"/>
    <col min="2" max="2" width="6.10546875" style="1" customWidth="1"/>
    <col min="3" max="3" width="12.99609375" style="1" customWidth="1"/>
    <col min="4" max="4" width="8.5546875" style="1" customWidth="1"/>
    <col min="5" max="5" width="12.5546875" style="7" customWidth="1"/>
    <col min="6" max="6" width="6.99609375" style="1" customWidth="1"/>
    <col min="7" max="7" width="13.5546875" style="1" customWidth="1"/>
    <col min="8" max="8" width="8.5546875" style="1" customWidth="1"/>
    <col min="9" max="9" width="12.5546875" style="7" customWidth="1"/>
    <col min="10" max="10" width="6.99609375" style="1" customWidth="1"/>
    <col min="11" max="11" width="13.5546875" style="1" customWidth="1"/>
    <col min="12" max="12" width="8.88671875" style="1" customWidth="1"/>
    <col min="13" max="13" width="12.5546875" style="7" customWidth="1"/>
    <col min="14" max="14" width="6.99609375" style="1" customWidth="1"/>
    <col min="15" max="15" width="13.5546875" style="1" customWidth="1"/>
    <col min="16" max="16" width="8.5546875" style="1" customWidth="1"/>
    <col min="17" max="17" width="12.5546875" style="7" customWidth="1"/>
    <col min="18" max="18" width="6.99609375" style="1" customWidth="1"/>
    <col min="19" max="19" width="10.6640625" style="1" customWidth="1"/>
    <col min="20" max="20" width="8.5546875" style="1" customWidth="1"/>
    <col min="21" max="21" width="12.5546875" style="7" customWidth="1"/>
    <col min="22" max="22" width="5.6640625" style="1" customWidth="1"/>
    <col min="23" max="23" width="10.6640625" style="1" customWidth="1"/>
    <col min="24" max="24" width="8.3359375" style="1" customWidth="1"/>
    <col min="25" max="25" width="12.5546875" style="7" customWidth="1"/>
    <col min="26" max="26" width="10.6640625" style="1" customWidth="1"/>
    <col min="27" max="27" width="0.10546875" style="1" customWidth="1"/>
    <col min="28" max="16384" width="10.6640625" style="1" customWidth="1"/>
  </cols>
  <sheetData>
    <row r="1" spans="2:27" ht="13.5" thickBot="1">
      <c r="B1" s="2"/>
      <c r="C1" s="3"/>
      <c r="D1" s="3"/>
      <c r="E1" s="4" t="s">
        <v>89</v>
      </c>
      <c r="F1" s="3"/>
      <c r="G1" s="3"/>
      <c r="H1" s="5"/>
      <c r="I1" s="6"/>
      <c r="K1" s="7"/>
      <c r="M1" s="6"/>
      <c r="O1" s="7"/>
      <c r="Q1" s="6"/>
      <c r="S1" s="7"/>
      <c r="U1" s="6"/>
      <c r="W1" s="7"/>
      <c r="Y1" s="6"/>
      <c r="AA1" s="7"/>
    </row>
    <row r="2" spans="2:25" ht="12.75">
      <c r="B2" s="8"/>
      <c r="C2" s="8"/>
      <c r="D2" s="9" t="s">
        <v>90</v>
      </c>
      <c r="E2" s="10">
        <v>0</v>
      </c>
      <c r="F2" s="8"/>
      <c r="G2" s="8"/>
      <c r="H2" s="9" t="s">
        <v>90</v>
      </c>
      <c r="I2" s="10">
        <v>1</v>
      </c>
      <c r="J2" s="8"/>
      <c r="K2" s="8"/>
      <c r="L2" s="9" t="s">
        <v>90</v>
      </c>
      <c r="M2" s="10">
        <v>2</v>
      </c>
      <c r="N2" s="8"/>
      <c r="O2" s="8"/>
      <c r="P2" s="9" t="s">
        <v>90</v>
      </c>
      <c r="Q2" s="10">
        <v>3</v>
      </c>
      <c r="R2" s="8"/>
      <c r="S2" s="8"/>
      <c r="T2" s="8" t="s">
        <v>90</v>
      </c>
      <c r="U2" s="10">
        <v>4</v>
      </c>
      <c r="V2" s="8"/>
      <c r="W2" s="8"/>
      <c r="X2" s="8" t="s">
        <v>90</v>
      </c>
      <c r="Y2" s="10">
        <v>5</v>
      </c>
    </row>
    <row r="3" spans="1:31" ht="12.75">
      <c r="A3" s="6" t="s">
        <v>97</v>
      </c>
      <c r="B3" s="11" t="s">
        <v>98</v>
      </c>
      <c r="C3" s="11" t="s">
        <v>99</v>
      </c>
      <c r="D3" s="11" t="s">
        <v>100</v>
      </c>
      <c r="E3" s="12" t="s">
        <v>101</v>
      </c>
      <c r="F3" s="11" t="s">
        <v>98</v>
      </c>
      <c r="G3" s="11" t="s">
        <v>99</v>
      </c>
      <c r="H3" s="11" t="s">
        <v>100</v>
      </c>
      <c r="I3" s="12" t="s">
        <v>101</v>
      </c>
      <c r="J3" s="11" t="s">
        <v>98</v>
      </c>
      <c r="K3" s="11" t="s">
        <v>99</v>
      </c>
      <c r="L3" s="11" t="s">
        <v>100</v>
      </c>
      <c r="M3" s="12" t="s">
        <v>101</v>
      </c>
      <c r="N3" s="11" t="s">
        <v>98</v>
      </c>
      <c r="O3" s="11" t="s">
        <v>99</v>
      </c>
      <c r="P3" s="11" t="s">
        <v>100</v>
      </c>
      <c r="Q3" s="12" t="s">
        <v>101</v>
      </c>
      <c r="R3" s="11" t="s">
        <v>98</v>
      </c>
      <c r="S3" s="11" t="s">
        <v>99</v>
      </c>
      <c r="T3" s="11" t="s">
        <v>100</v>
      </c>
      <c r="U3" s="12" t="s">
        <v>101</v>
      </c>
      <c r="V3" s="11" t="s">
        <v>98</v>
      </c>
      <c r="W3" s="11" t="s">
        <v>99</v>
      </c>
      <c r="X3" s="11" t="s">
        <v>100</v>
      </c>
      <c r="Y3" s="12" t="s">
        <v>101</v>
      </c>
      <c r="Z3" s="13"/>
      <c r="AA3" s="13"/>
      <c r="AB3" s="13"/>
      <c r="AC3" s="13"/>
      <c r="AD3" s="13"/>
      <c r="AE3" s="13"/>
    </row>
    <row r="4" spans="1:25" ht="12.75">
      <c r="A4" s="7" t="s">
        <v>53</v>
      </c>
      <c r="B4" s="14"/>
      <c r="C4" s="14"/>
      <c r="D4" s="14"/>
      <c r="E4" s="15"/>
      <c r="F4" s="14"/>
      <c r="G4" s="14"/>
      <c r="H4" s="14"/>
      <c r="I4" s="15"/>
      <c r="J4" s="14"/>
      <c r="K4" s="14"/>
      <c r="L4" s="14"/>
      <c r="M4" s="15"/>
      <c r="N4" s="14"/>
      <c r="O4" s="14"/>
      <c r="P4" s="14"/>
      <c r="Q4" s="15"/>
      <c r="R4" s="14"/>
      <c r="S4" s="14"/>
      <c r="T4" s="14"/>
      <c r="U4" s="15"/>
      <c r="V4" s="14"/>
      <c r="W4" s="14"/>
      <c r="X4" s="14"/>
      <c r="Y4" s="15"/>
    </row>
    <row r="5" spans="1:25" ht="12.75">
      <c r="A5" s="16"/>
      <c r="B5" s="14"/>
      <c r="C5" s="14"/>
      <c r="D5" s="14"/>
      <c r="E5" s="15"/>
      <c r="F5" s="14"/>
      <c r="G5" s="14"/>
      <c r="H5" s="14"/>
      <c r="I5" s="15"/>
      <c r="J5" s="14"/>
      <c r="K5" s="14"/>
      <c r="L5" s="14"/>
      <c r="M5" s="15"/>
      <c r="N5" s="14"/>
      <c r="O5" s="14"/>
      <c r="P5" s="14"/>
      <c r="Q5" s="15"/>
      <c r="R5" s="14"/>
      <c r="S5" s="14"/>
      <c r="T5" s="14"/>
      <c r="U5" s="15"/>
      <c r="V5" s="14"/>
      <c r="W5" s="14"/>
      <c r="X5" s="14"/>
      <c r="Y5" s="15"/>
    </row>
    <row r="6" spans="1:25" ht="12.75">
      <c r="A6" s="16"/>
      <c r="B6" s="17"/>
      <c r="C6" s="18"/>
      <c r="D6" s="19"/>
      <c r="E6" s="20"/>
      <c r="F6" s="17"/>
      <c r="G6" s="18"/>
      <c r="H6" s="19"/>
      <c r="I6" s="20"/>
      <c r="J6" s="17"/>
      <c r="K6" s="18"/>
      <c r="L6" s="19"/>
      <c r="M6" s="20"/>
      <c r="N6" s="19"/>
      <c r="O6" s="18"/>
      <c r="P6" s="19"/>
      <c r="Q6" s="20"/>
      <c r="R6" s="17"/>
      <c r="S6" s="18"/>
      <c r="T6" s="19"/>
      <c r="U6" s="20"/>
      <c r="V6" s="17"/>
      <c r="W6" s="18"/>
      <c r="X6" s="19"/>
      <c r="Y6" s="20"/>
    </row>
    <row r="7" spans="1:25" ht="12.75">
      <c r="A7" s="16"/>
      <c r="B7" s="17"/>
      <c r="C7" s="18"/>
      <c r="D7" s="19"/>
      <c r="E7" s="20"/>
      <c r="F7" s="17"/>
      <c r="G7" s="18"/>
      <c r="H7" s="19"/>
      <c r="I7" s="20"/>
      <c r="J7" s="17"/>
      <c r="K7" s="18"/>
      <c r="L7" s="19"/>
      <c r="M7" s="20"/>
      <c r="N7" s="19"/>
      <c r="O7" s="18"/>
      <c r="P7" s="19"/>
      <c r="Q7" s="20"/>
      <c r="R7" s="17"/>
      <c r="S7" s="18"/>
      <c r="T7" s="19"/>
      <c r="U7" s="20"/>
      <c r="V7" s="17"/>
      <c r="W7" s="18"/>
      <c r="X7" s="19"/>
      <c r="Y7" s="20"/>
    </row>
    <row r="8" spans="1:25" ht="12.75">
      <c r="A8" s="16"/>
      <c r="B8" s="17"/>
      <c r="C8" s="18"/>
      <c r="D8" s="19"/>
      <c r="E8" s="20"/>
      <c r="F8" s="17"/>
      <c r="G8" s="18"/>
      <c r="H8" s="19"/>
      <c r="I8" s="20"/>
      <c r="J8" s="17"/>
      <c r="K8" s="18"/>
      <c r="L8" s="19"/>
      <c r="M8" s="20"/>
      <c r="N8" s="19"/>
      <c r="O8" s="18"/>
      <c r="P8" s="19"/>
      <c r="Q8" s="20"/>
      <c r="R8" s="17"/>
      <c r="S8" s="18"/>
      <c r="T8" s="19"/>
      <c r="U8" s="20"/>
      <c r="V8" s="17"/>
      <c r="W8" s="18"/>
      <c r="X8" s="19"/>
      <c r="Y8" s="20"/>
    </row>
    <row r="9" spans="1:25" ht="12.75">
      <c r="A9" s="16"/>
      <c r="B9" s="17"/>
      <c r="C9" s="18"/>
      <c r="D9" s="19"/>
      <c r="E9" s="20"/>
      <c r="F9" s="17"/>
      <c r="G9" s="18"/>
      <c r="H9" s="19"/>
      <c r="I9" s="20"/>
      <c r="J9" s="17"/>
      <c r="K9" s="18"/>
      <c r="L9" s="19"/>
      <c r="M9" s="20"/>
      <c r="N9" s="19"/>
      <c r="O9" s="18"/>
      <c r="P9" s="19"/>
      <c r="Q9" s="20"/>
      <c r="R9" s="17"/>
      <c r="S9" s="18"/>
      <c r="T9" s="19"/>
      <c r="U9" s="20"/>
      <c r="V9" s="17"/>
      <c r="W9" s="18"/>
      <c r="X9" s="19"/>
      <c r="Y9" s="20"/>
    </row>
    <row r="10" spans="1:25" ht="12.75">
      <c r="A10" s="16"/>
      <c r="B10" s="17"/>
      <c r="C10" s="18"/>
      <c r="D10" s="19"/>
      <c r="E10" s="20"/>
      <c r="F10" s="17"/>
      <c r="G10" s="18"/>
      <c r="H10" s="19"/>
      <c r="I10" s="20"/>
      <c r="J10" s="17"/>
      <c r="K10" s="18"/>
      <c r="L10" s="19"/>
      <c r="M10" s="20"/>
      <c r="N10" s="19"/>
      <c r="O10" s="18"/>
      <c r="P10" s="19"/>
      <c r="Q10" s="20"/>
      <c r="R10" s="17"/>
      <c r="S10" s="18"/>
      <c r="T10" s="19"/>
      <c r="U10" s="20"/>
      <c r="V10" s="17"/>
      <c r="W10" s="18"/>
      <c r="X10" s="19"/>
      <c r="Y10" s="20"/>
    </row>
    <row r="11" spans="1:25" ht="12.75">
      <c r="A11" s="16"/>
      <c r="B11" s="17"/>
      <c r="C11" s="18"/>
      <c r="D11" s="19"/>
      <c r="E11" s="20"/>
      <c r="F11" s="17"/>
      <c r="G11" s="18"/>
      <c r="H11" s="19"/>
      <c r="I11" s="20"/>
      <c r="J11" s="17"/>
      <c r="K11" s="18"/>
      <c r="L11" s="19"/>
      <c r="M11" s="20"/>
      <c r="N11" s="19"/>
      <c r="O11" s="18"/>
      <c r="P11" s="19"/>
      <c r="Q11" s="20"/>
      <c r="R11" s="17"/>
      <c r="S11" s="18"/>
      <c r="T11" s="19"/>
      <c r="U11" s="20"/>
      <c r="V11" s="17"/>
      <c r="W11" s="18"/>
      <c r="X11" s="19"/>
      <c r="Y11" s="20"/>
    </row>
    <row r="12" spans="1:25" ht="12.75">
      <c r="A12" s="16"/>
      <c r="B12" s="17"/>
      <c r="C12" s="18"/>
      <c r="D12" s="19"/>
      <c r="E12" s="20"/>
      <c r="F12" s="17"/>
      <c r="G12" s="18"/>
      <c r="H12" s="19"/>
      <c r="I12" s="20"/>
      <c r="J12" s="17"/>
      <c r="K12" s="18"/>
      <c r="L12" s="19"/>
      <c r="M12" s="20"/>
      <c r="N12" s="19"/>
      <c r="O12" s="18"/>
      <c r="P12" s="19"/>
      <c r="Q12" s="20"/>
      <c r="R12" s="17"/>
      <c r="S12" s="18"/>
      <c r="T12" s="19"/>
      <c r="U12" s="20"/>
      <c r="V12" s="17"/>
      <c r="W12" s="18"/>
      <c r="X12" s="19"/>
      <c r="Y12" s="20"/>
    </row>
    <row r="13" spans="1:25" ht="12.75">
      <c r="A13" s="16"/>
      <c r="B13" s="17"/>
      <c r="C13" s="18"/>
      <c r="D13" s="19"/>
      <c r="E13" s="20"/>
      <c r="F13" s="17"/>
      <c r="G13" s="18"/>
      <c r="H13" s="19"/>
      <c r="I13" s="20"/>
      <c r="J13" s="17"/>
      <c r="K13" s="18"/>
      <c r="L13" s="19"/>
      <c r="M13" s="20"/>
      <c r="N13" s="19"/>
      <c r="O13" s="18"/>
      <c r="P13" s="19"/>
      <c r="Q13" s="20"/>
      <c r="R13" s="17"/>
      <c r="S13" s="18"/>
      <c r="T13" s="19"/>
      <c r="U13" s="20"/>
      <c r="V13" s="17"/>
      <c r="W13" s="18"/>
      <c r="X13" s="19"/>
      <c r="Y13" s="20"/>
    </row>
    <row r="14" spans="1:26" ht="12.75">
      <c r="A14" s="16"/>
      <c r="B14" s="17"/>
      <c r="C14" s="18"/>
      <c r="D14" s="19"/>
      <c r="E14" s="20"/>
      <c r="F14" s="17"/>
      <c r="G14" s="18"/>
      <c r="H14" s="19"/>
      <c r="I14" s="20"/>
      <c r="J14" s="17"/>
      <c r="K14" s="18"/>
      <c r="L14" s="19"/>
      <c r="M14" s="20"/>
      <c r="N14" s="19"/>
      <c r="O14" s="18"/>
      <c r="P14" s="19"/>
      <c r="Q14" s="20"/>
      <c r="R14" s="17"/>
      <c r="S14" s="18"/>
      <c r="T14" s="19"/>
      <c r="U14" s="20"/>
      <c r="V14" s="17"/>
      <c r="W14" s="18"/>
      <c r="X14" s="19"/>
      <c r="Y14" s="20"/>
      <c r="Z14" s="7"/>
    </row>
    <row r="15" spans="1:25" ht="12.75">
      <c r="A15" s="16"/>
      <c r="B15" s="17"/>
      <c r="C15" s="18"/>
      <c r="D15" s="19"/>
      <c r="E15" s="20"/>
      <c r="F15" s="17"/>
      <c r="G15" s="18"/>
      <c r="H15" s="19"/>
      <c r="I15" s="20"/>
      <c r="J15" s="17"/>
      <c r="K15" s="18"/>
      <c r="L15" s="19"/>
      <c r="M15" s="20"/>
      <c r="N15" s="19"/>
      <c r="O15" s="18"/>
      <c r="P15" s="19"/>
      <c r="Q15" s="20"/>
      <c r="R15" s="17"/>
      <c r="S15" s="18"/>
      <c r="T15" s="19"/>
      <c r="U15" s="20"/>
      <c r="V15" s="17"/>
      <c r="W15" s="18"/>
      <c r="X15" s="19"/>
      <c r="Y15" s="20"/>
    </row>
    <row r="16" spans="1:25" ht="12.75">
      <c r="A16" s="16"/>
      <c r="B16" s="17"/>
      <c r="C16" s="18"/>
      <c r="D16" s="19"/>
      <c r="E16" s="20"/>
      <c r="F16" s="17"/>
      <c r="G16" s="18"/>
      <c r="H16" s="19"/>
      <c r="I16" s="20"/>
      <c r="J16" s="17"/>
      <c r="K16" s="18"/>
      <c r="L16" s="19"/>
      <c r="M16" s="20"/>
      <c r="N16" s="19"/>
      <c r="O16" s="18"/>
      <c r="P16" s="19"/>
      <c r="Q16" s="20"/>
      <c r="R16" s="19"/>
      <c r="S16" s="18"/>
      <c r="T16" s="19"/>
      <c r="U16" s="20"/>
      <c r="V16" s="17"/>
      <c r="W16" s="18"/>
      <c r="X16" s="19"/>
      <c r="Y16" s="20"/>
    </row>
    <row r="17" spans="1:25" ht="12.75">
      <c r="A17" s="16"/>
      <c r="B17" s="17"/>
      <c r="C17" s="18"/>
      <c r="D17" s="19"/>
      <c r="E17" s="20"/>
      <c r="F17" s="17"/>
      <c r="G17" s="18"/>
      <c r="H17" s="19"/>
      <c r="I17" s="20"/>
      <c r="J17" s="17"/>
      <c r="K17" s="18"/>
      <c r="L17" s="19"/>
      <c r="M17" s="20"/>
      <c r="N17" s="19"/>
      <c r="O17" s="18"/>
      <c r="P17" s="19"/>
      <c r="Q17" s="20"/>
      <c r="R17" s="19"/>
      <c r="S17" s="18"/>
      <c r="T17" s="19"/>
      <c r="U17" s="20"/>
      <c r="V17" s="17"/>
      <c r="W17" s="18"/>
      <c r="X17" s="19"/>
      <c r="Y17" s="20"/>
    </row>
    <row r="18" spans="1:25" ht="12.75">
      <c r="A18" s="16"/>
      <c r="B18" s="17"/>
      <c r="C18" s="18"/>
      <c r="D18" s="19"/>
      <c r="E18" s="20"/>
      <c r="F18" s="17"/>
      <c r="G18" s="18"/>
      <c r="H18" s="19"/>
      <c r="I18" s="20"/>
      <c r="J18" s="17"/>
      <c r="K18" s="18"/>
      <c r="L18" s="19"/>
      <c r="M18" s="20"/>
      <c r="N18" s="19"/>
      <c r="O18" s="18"/>
      <c r="P18" s="19"/>
      <c r="Q18" s="20"/>
      <c r="R18" s="19"/>
      <c r="S18" s="18"/>
      <c r="T18" s="19"/>
      <c r="U18" s="20"/>
      <c r="V18" s="17"/>
      <c r="W18" s="18"/>
      <c r="X18" s="19"/>
      <c r="Y18" s="20"/>
    </row>
    <row r="19" spans="1:25" ht="12.75">
      <c r="A19" s="16"/>
      <c r="B19" s="17"/>
      <c r="C19" s="18"/>
      <c r="D19" s="19"/>
      <c r="E19" s="20"/>
      <c r="F19" s="17"/>
      <c r="G19" s="18"/>
      <c r="H19" s="19"/>
      <c r="I19" s="20"/>
      <c r="J19" s="17"/>
      <c r="K19" s="18"/>
      <c r="L19" s="19"/>
      <c r="M19" s="20"/>
      <c r="N19" s="19"/>
      <c r="O19" s="18"/>
      <c r="P19" s="19"/>
      <c r="Q19" s="20"/>
      <c r="R19" s="19"/>
      <c r="S19" s="18"/>
      <c r="T19" s="19"/>
      <c r="U19" s="20"/>
      <c r="V19" s="17"/>
      <c r="W19" s="18"/>
      <c r="X19" s="19"/>
      <c r="Y19" s="20"/>
    </row>
    <row r="20" spans="1:25" ht="13.5" thickBot="1">
      <c r="A20" s="16"/>
      <c r="B20" s="21"/>
      <c r="C20" s="22"/>
      <c r="D20" s="23"/>
      <c r="E20" s="24"/>
      <c r="F20" s="21"/>
      <c r="G20" s="22"/>
      <c r="H20" s="23"/>
      <c r="I20" s="24"/>
      <c r="J20" s="21"/>
      <c r="K20" s="22"/>
      <c r="L20" s="23"/>
      <c r="M20" s="24"/>
      <c r="N20" s="23"/>
      <c r="O20" s="22"/>
      <c r="P20" s="23"/>
      <c r="Q20" s="24"/>
      <c r="R20" s="23"/>
      <c r="S20" s="22"/>
      <c r="T20" s="23"/>
      <c r="U20" s="24"/>
      <c r="V20" s="21"/>
      <c r="W20" s="22"/>
      <c r="X20" s="23"/>
      <c r="Y20" s="24"/>
    </row>
    <row r="21" ht="12.75">
      <c r="AA21" s="1" t="e">
        <f>#REF!</f>
        <v>#REF!</v>
      </c>
    </row>
    <row r="22" ht="13.5" thickBot="1">
      <c r="A22" s="7" t="s">
        <v>32</v>
      </c>
    </row>
    <row r="23" spans="1:25" ht="12.75">
      <c r="A23" s="16"/>
      <c r="B23" s="8"/>
      <c r="C23" s="25"/>
      <c r="D23" s="26"/>
      <c r="E23" s="27"/>
      <c r="F23" s="8"/>
      <c r="G23" s="8"/>
      <c r="H23" s="8"/>
      <c r="I23" s="28"/>
      <c r="J23" s="8"/>
      <c r="K23" s="8"/>
      <c r="L23" s="8"/>
      <c r="M23" s="28"/>
      <c r="N23" s="8"/>
      <c r="O23" s="8"/>
      <c r="P23" s="8"/>
      <c r="Q23" s="28"/>
      <c r="R23" s="8"/>
      <c r="S23" s="8"/>
      <c r="T23" s="8"/>
      <c r="U23" s="28"/>
      <c r="V23" s="8"/>
      <c r="W23" s="8"/>
      <c r="X23" s="8"/>
      <c r="Y23" s="28"/>
    </row>
    <row r="24" spans="1:25" ht="12.75">
      <c r="A24" s="16"/>
      <c r="B24" s="14"/>
      <c r="C24" s="18"/>
      <c r="D24" s="29"/>
      <c r="E24" s="20"/>
      <c r="F24" s="14"/>
      <c r="G24" s="14"/>
      <c r="H24" s="14"/>
      <c r="I24" s="15"/>
      <c r="J24" s="14"/>
      <c r="K24" s="14"/>
      <c r="L24" s="14"/>
      <c r="M24" s="15"/>
      <c r="N24" s="14"/>
      <c r="O24" s="18"/>
      <c r="P24" s="14"/>
      <c r="Q24" s="20"/>
      <c r="R24" s="14"/>
      <c r="S24" s="14"/>
      <c r="T24" s="14"/>
      <c r="U24" s="15"/>
      <c r="V24" s="14"/>
      <c r="W24" s="14"/>
      <c r="X24" s="14"/>
      <c r="Y24" s="15"/>
    </row>
    <row r="25" spans="1:25" ht="12.75">
      <c r="A25" s="16"/>
      <c r="B25" s="14"/>
      <c r="C25" s="18"/>
      <c r="D25" s="29"/>
      <c r="E25" s="20"/>
      <c r="F25" s="14"/>
      <c r="G25" s="14"/>
      <c r="H25" s="14"/>
      <c r="I25" s="15"/>
      <c r="J25" s="14"/>
      <c r="K25" s="14"/>
      <c r="L25" s="14"/>
      <c r="M25" s="15"/>
      <c r="N25" s="14"/>
      <c r="O25" s="14"/>
      <c r="P25" s="14"/>
      <c r="Q25" s="15"/>
      <c r="R25" s="14"/>
      <c r="S25" s="14"/>
      <c r="T25" s="14"/>
      <c r="U25" s="15"/>
      <c r="V25" s="14"/>
      <c r="W25" s="14"/>
      <c r="X25" s="14"/>
      <c r="Y25" s="15"/>
    </row>
    <row r="26" spans="1:25" ht="12.75">
      <c r="A26" s="16"/>
      <c r="B26" s="14"/>
      <c r="C26" s="18"/>
      <c r="D26" s="29"/>
      <c r="E26" s="20"/>
      <c r="F26" s="14"/>
      <c r="G26" s="14"/>
      <c r="H26" s="14"/>
      <c r="I26" s="15"/>
      <c r="J26" s="14"/>
      <c r="K26" s="14"/>
      <c r="L26" s="14"/>
      <c r="M26" s="15"/>
      <c r="N26" s="14"/>
      <c r="O26" s="14"/>
      <c r="P26" s="14"/>
      <c r="Q26" s="15"/>
      <c r="R26" s="14"/>
      <c r="S26" s="14"/>
      <c r="T26" s="14"/>
      <c r="U26" s="15"/>
      <c r="V26" s="14"/>
      <c r="W26" s="18"/>
      <c r="X26" s="14"/>
      <c r="Y26" s="20"/>
    </row>
    <row r="27" spans="1:25" ht="12.75">
      <c r="A27" s="16"/>
      <c r="B27" s="14"/>
      <c r="C27" s="18"/>
      <c r="D27" s="29"/>
      <c r="E27" s="20"/>
      <c r="F27" s="14"/>
      <c r="G27" s="14"/>
      <c r="H27" s="14"/>
      <c r="I27" s="15"/>
      <c r="J27" s="14"/>
      <c r="K27" s="14"/>
      <c r="L27" s="14"/>
      <c r="M27" s="15"/>
      <c r="N27" s="14"/>
      <c r="O27" s="14"/>
      <c r="P27" s="14"/>
      <c r="Q27" s="15"/>
      <c r="R27" s="14"/>
      <c r="S27" s="14"/>
      <c r="T27" s="14"/>
      <c r="U27" s="15"/>
      <c r="V27" s="14"/>
      <c r="W27" s="14"/>
      <c r="X27" s="14"/>
      <c r="Y27" s="15"/>
    </row>
    <row r="28" spans="1:25" ht="13.5" thickBot="1">
      <c r="A28" s="16"/>
      <c r="B28" s="30"/>
      <c r="C28" s="22"/>
      <c r="D28" s="31"/>
      <c r="E28" s="24"/>
      <c r="F28" s="30"/>
      <c r="G28" s="30"/>
      <c r="H28" s="30"/>
      <c r="I28" s="32"/>
      <c r="J28" s="14"/>
      <c r="K28" s="14"/>
      <c r="L28" s="14"/>
      <c r="M28" s="15"/>
      <c r="N28" s="14"/>
      <c r="O28" s="14"/>
      <c r="P28" s="14"/>
      <c r="Q28" s="15"/>
      <c r="R28" s="14"/>
      <c r="S28" s="14"/>
      <c r="T28" s="14"/>
      <c r="U28" s="15"/>
      <c r="V28" s="14"/>
      <c r="W28" s="14"/>
      <c r="X28" s="14"/>
      <c r="Y28" s="15"/>
    </row>
    <row r="29" spans="1:4" ht="13.5" thickBot="1">
      <c r="A29" s="7" t="s">
        <v>39</v>
      </c>
      <c r="D29" s="33"/>
    </row>
    <row r="30" spans="1:25" ht="12.75">
      <c r="A30" s="16"/>
      <c r="B30" s="8"/>
      <c r="C30" s="25"/>
      <c r="D30" s="26"/>
      <c r="E30" s="27"/>
      <c r="F30" s="8"/>
      <c r="G30" s="25"/>
      <c r="H30" s="26"/>
      <c r="I30" s="27"/>
      <c r="J30" s="8"/>
      <c r="K30" s="25"/>
      <c r="L30" s="26"/>
      <c r="M30" s="27"/>
      <c r="N30" s="8"/>
      <c r="O30" s="25"/>
      <c r="P30" s="26"/>
      <c r="Q30" s="27"/>
      <c r="R30" s="8"/>
      <c r="S30" s="25"/>
      <c r="T30" s="26"/>
      <c r="U30" s="27"/>
      <c r="V30" s="8"/>
      <c r="W30" s="25"/>
      <c r="X30" s="26"/>
      <c r="Y30" s="27"/>
    </row>
    <row r="31" spans="2:25" ht="12.75">
      <c r="B31" s="14"/>
      <c r="C31" s="14"/>
      <c r="D31" s="14"/>
      <c r="E31" s="15"/>
      <c r="F31" s="14"/>
      <c r="G31" s="14"/>
      <c r="H31" s="14"/>
      <c r="I31" s="15"/>
      <c r="J31" s="14"/>
      <c r="K31" s="14"/>
      <c r="L31" s="14"/>
      <c r="M31" s="15"/>
      <c r="N31" s="14"/>
      <c r="O31" s="14"/>
      <c r="P31" s="14"/>
      <c r="Q31" s="15"/>
      <c r="R31" s="14"/>
      <c r="S31" s="14"/>
      <c r="T31" s="14"/>
      <c r="U31" s="15"/>
      <c r="V31" s="14"/>
      <c r="W31" s="14"/>
      <c r="X31" s="14"/>
      <c r="Y31" s="15"/>
    </row>
    <row r="32" spans="1:25" ht="12.75">
      <c r="A32" s="7" t="s">
        <v>41</v>
      </c>
      <c r="B32" s="14"/>
      <c r="C32" s="14"/>
      <c r="D32" s="14"/>
      <c r="E32" s="20"/>
      <c r="F32" s="14"/>
      <c r="G32" s="14"/>
      <c r="H32" s="14"/>
      <c r="I32" s="20"/>
      <c r="J32" s="14"/>
      <c r="K32" s="14"/>
      <c r="L32" s="14"/>
      <c r="M32" s="20"/>
      <c r="N32" s="14"/>
      <c r="O32" s="14"/>
      <c r="P32" s="14"/>
      <c r="Q32" s="20"/>
      <c r="R32" s="14"/>
      <c r="S32" s="14"/>
      <c r="T32" s="14"/>
      <c r="U32" s="20"/>
      <c r="V32" s="14"/>
      <c r="W32" s="14"/>
      <c r="X32" s="14"/>
      <c r="Y32" s="20"/>
    </row>
    <row r="33" spans="1:25" ht="12.75">
      <c r="A33" s="7" t="s">
        <v>42</v>
      </c>
      <c r="B33" s="14"/>
      <c r="C33" s="14"/>
      <c r="D33" s="14"/>
      <c r="E33" s="20"/>
      <c r="F33" s="14"/>
      <c r="G33" s="14"/>
      <c r="H33" s="14"/>
      <c r="I33" s="20"/>
      <c r="J33" s="14"/>
      <c r="K33" s="14"/>
      <c r="L33" s="14"/>
      <c r="M33" s="20"/>
      <c r="N33" s="14"/>
      <c r="O33" s="14"/>
      <c r="P33" s="14"/>
      <c r="Q33" s="20"/>
      <c r="R33" s="14"/>
      <c r="S33" s="14"/>
      <c r="T33" s="14"/>
      <c r="U33" s="20"/>
      <c r="V33" s="14"/>
      <c r="W33" s="14"/>
      <c r="X33" s="14"/>
      <c r="Y33" s="20"/>
    </row>
    <row r="34" spans="1:25" ht="13.5" thickBot="1">
      <c r="A34" s="7" t="s">
        <v>43</v>
      </c>
      <c r="B34" s="30"/>
      <c r="C34" s="30"/>
      <c r="D34" s="30"/>
      <c r="E34" s="24"/>
      <c r="F34" s="30"/>
      <c r="G34" s="30"/>
      <c r="H34" s="30"/>
      <c r="I34" s="24"/>
      <c r="J34" s="30"/>
      <c r="K34" s="30"/>
      <c r="L34" s="30"/>
      <c r="M34" s="24"/>
      <c r="N34" s="30"/>
      <c r="O34" s="30"/>
      <c r="P34" s="30"/>
      <c r="Q34" s="24"/>
      <c r="R34" s="30"/>
      <c r="S34" s="30"/>
      <c r="T34" s="30"/>
      <c r="U34" s="24"/>
      <c r="V34" s="30"/>
      <c r="W34" s="30"/>
      <c r="X34" s="30"/>
      <c r="Y34" s="24"/>
    </row>
    <row r="35" spans="1:25" ht="12.75">
      <c r="A35" s="7"/>
      <c r="B35" s="58"/>
      <c r="C35" s="58"/>
      <c r="D35" s="58"/>
      <c r="E35" s="34"/>
      <c r="F35" s="58"/>
      <c r="G35" s="58"/>
      <c r="H35" s="58"/>
      <c r="I35" s="34"/>
      <c r="J35" s="58"/>
      <c r="K35" s="58"/>
      <c r="L35" s="58"/>
      <c r="M35" s="34"/>
      <c r="N35" s="58"/>
      <c r="O35" s="58"/>
      <c r="P35" s="58"/>
      <c r="Q35" s="34"/>
      <c r="R35" s="58"/>
      <c r="S35" s="58"/>
      <c r="T35" s="58"/>
      <c r="U35" s="34"/>
      <c r="V35" s="58"/>
      <c r="W35" s="58"/>
      <c r="X35" s="58"/>
      <c r="Y35" s="34"/>
    </row>
    <row r="36" spans="1:15" ht="12.75">
      <c r="A36" s="7"/>
      <c r="E36" s="34"/>
      <c r="G36" s="34"/>
      <c r="I36" s="34"/>
      <c r="K36" s="34"/>
      <c r="M36" s="34"/>
      <c r="O36" s="34"/>
    </row>
    <row r="37" spans="1:15" ht="13.5" thickBot="1">
      <c r="A37" s="7"/>
      <c r="E37" s="34"/>
      <c r="G37" s="34"/>
      <c r="I37" s="34"/>
      <c r="K37" s="34"/>
      <c r="M37" s="34"/>
      <c r="O37" s="34"/>
    </row>
    <row r="38" spans="1:13" ht="13.5" thickBot="1">
      <c r="A38" s="63" t="s">
        <v>44</v>
      </c>
      <c r="C38" s="13">
        <v>0</v>
      </c>
      <c r="D38" s="119">
        <v>1</v>
      </c>
      <c r="E38" s="120"/>
      <c r="F38" s="114">
        <v>2</v>
      </c>
      <c r="G38" s="120"/>
      <c r="H38" s="114">
        <v>3</v>
      </c>
      <c r="I38" s="121"/>
      <c r="J38" s="114">
        <v>4</v>
      </c>
      <c r="K38" s="114"/>
      <c r="L38" s="114">
        <v>5</v>
      </c>
      <c r="M38" s="114"/>
    </row>
    <row r="39" spans="2:17" ht="13.5" thickBot="1">
      <c r="B39" s="36" t="s">
        <v>84</v>
      </c>
      <c r="C39" s="60"/>
      <c r="D39" s="122"/>
      <c r="E39" s="118"/>
      <c r="F39" s="118"/>
      <c r="G39" s="118"/>
      <c r="H39" s="118"/>
      <c r="I39" s="118"/>
      <c r="J39" s="118"/>
      <c r="K39" s="118"/>
      <c r="L39" s="118"/>
      <c r="M39" s="118"/>
      <c r="Q39" s="1"/>
    </row>
    <row r="40" spans="2:25" s="13" customFormat="1" ht="13.5" thickBot="1">
      <c r="B40" s="36" t="s">
        <v>46</v>
      </c>
      <c r="C40" s="61"/>
      <c r="D40" s="109"/>
      <c r="E40" s="109"/>
      <c r="F40" s="109"/>
      <c r="G40" s="109"/>
      <c r="H40" s="109"/>
      <c r="I40" s="110"/>
      <c r="J40" s="109"/>
      <c r="K40" s="109"/>
      <c r="L40" s="109"/>
      <c r="M40" s="110"/>
      <c r="N40" s="1"/>
      <c r="O40" s="1"/>
      <c r="P40" s="1"/>
      <c r="Q40" s="1"/>
      <c r="U40" s="6"/>
      <c r="Y40" s="6"/>
    </row>
    <row r="41" spans="2:25" s="13" customFormat="1" ht="13.5" thickBot="1">
      <c r="B41" s="36" t="s">
        <v>82</v>
      </c>
      <c r="C41" s="61"/>
      <c r="D41" s="115"/>
      <c r="E41" s="116"/>
      <c r="F41" s="115"/>
      <c r="G41" s="116"/>
      <c r="H41" s="115"/>
      <c r="I41" s="117"/>
      <c r="J41" s="115"/>
      <c r="K41" s="116"/>
      <c r="L41" s="115"/>
      <c r="M41" s="117"/>
      <c r="N41" s="1"/>
      <c r="O41" s="1"/>
      <c r="P41" s="1"/>
      <c r="Q41" s="1"/>
      <c r="U41" s="6"/>
      <c r="Y41" s="6"/>
    </row>
    <row r="42" spans="2:25" s="13" customFormat="1" ht="13.5" thickBot="1">
      <c r="B42" s="36" t="s">
        <v>83</v>
      </c>
      <c r="C42" s="61"/>
      <c r="D42" s="111"/>
      <c r="E42" s="113"/>
      <c r="F42" s="111"/>
      <c r="G42" s="113"/>
      <c r="H42" s="111"/>
      <c r="I42" s="113"/>
      <c r="J42" s="111"/>
      <c r="K42" s="113"/>
      <c r="L42" s="111"/>
      <c r="M42" s="112"/>
      <c r="N42" s="1"/>
      <c r="O42" s="1"/>
      <c r="P42" s="1"/>
      <c r="Q42" s="1"/>
      <c r="U42" s="6"/>
      <c r="Y42" s="6"/>
    </row>
    <row r="43" spans="2:25" s="13" customFormat="1" ht="13.5" thickBot="1">
      <c r="B43" s="36" t="s">
        <v>81</v>
      </c>
      <c r="C43" s="61"/>
      <c r="D43" s="111"/>
      <c r="E43" s="113"/>
      <c r="F43" s="111"/>
      <c r="G43" s="113"/>
      <c r="H43" s="111"/>
      <c r="I43" s="113"/>
      <c r="J43" s="111"/>
      <c r="K43" s="113"/>
      <c r="L43" s="111"/>
      <c r="M43" s="112"/>
      <c r="N43" s="1"/>
      <c r="O43" s="1"/>
      <c r="P43" s="1"/>
      <c r="Q43" s="1"/>
      <c r="U43" s="6"/>
      <c r="Y43" s="6"/>
    </row>
    <row r="44" spans="2:17" ht="13.5" thickBot="1">
      <c r="B44" s="36" t="s">
        <v>49</v>
      </c>
      <c r="C44" s="61"/>
      <c r="E44" s="1"/>
      <c r="I44" s="1"/>
      <c r="M44" s="1"/>
      <c r="Q44" s="1"/>
    </row>
    <row r="45" spans="2:17" ht="13.5" thickBot="1">
      <c r="B45" s="36" t="s">
        <v>50</v>
      </c>
      <c r="C45" s="61"/>
      <c r="E45" s="1"/>
      <c r="I45" s="1"/>
      <c r="M45" s="1"/>
      <c r="Q45" s="1"/>
    </row>
    <row r="46" spans="2:17" ht="13.5" thickBot="1">
      <c r="B46" s="36" t="s">
        <v>51</v>
      </c>
      <c r="C46" s="61"/>
      <c r="D46" s="1" t="s">
        <v>52</v>
      </c>
      <c r="E46" s="1"/>
      <c r="I46" s="1"/>
      <c r="M46" s="1"/>
      <c r="Q46" s="1"/>
    </row>
    <row r="47" spans="5:17" ht="12.75">
      <c r="E47" s="1"/>
      <c r="I47" s="1"/>
      <c r="M47" s="1"/>
      <c r="Q47" s="1"/>
    </row>
    <row r="48" spans="5:17" ht="12.75">
      <c r="E48" s="1"/>
      <c r="I48" s="1"/>
      <c r="M48" s="1"/>
      <c r="Q48" s="1"/>
    </row>
  </sheetData>
  <mergeCells count="30">
    <mergeCell ref="D41:E41"/>
    <mergeCell ref="D38:E38"/>
    <mergeCell ref="F41:G41"/>
    <mergeCell ref="H41:I41"/>
    <mergeCell ref="F38:G38"/>
    <mergeCell ref="H38:I38"/>
    <mergeCell ref="D39:E39"/>
    <mergeCell ref="F39:G39"/>
    <mergeCell ref="H39:I39"/>
    <mergeCell ref="D40:E40"/>
    <mergeCell ref="J38:K38"/>
    <mergeCell ref="L38:M38"/>
    <mergeCell ref="J41:K41"/>
    <mergeCell ref="L41:M41"/>
    <mergeCell ref="J39:K39"/>
    <mergeCell ref="L39:M39"/>
    <mergeCell ref="L42:M42"/>
    <mergeCell ref="D43:E43"/>
    <mergeCell ref="F43:G43"/>
    <mergeCell ref="H43:I43"/>
    <mergeCell ref="J43:K43"/>
    <mergeCell ref="L43:M43"/>
    <mergeCell ref="D42:E42"/>
    <mergeCell ref="F42:G42"/>
    <mergeCell ref="H42:I42"/>
    <mergeCell ref="J42:K42"/>
    <mergeCell ref="F40:G40"/>
    <mergeCell ref="H40:I40"/>
    <mergeCell ref="J40:K40"/>
    <mergeCell ref="L40:M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125" zoomScaleNormal="125" workbookViewId="0" topLeftCell="A1">
      <selection activeCell="B39" sqref="B39"/>
    </sheetView>
  </sheetViews>
  <sheetFormatPr defaultColWidth="11.5546875" defaultRowHeight="15.75"/>
  <cols>
    <col min="1" max="1" width="22.6640625" style="0" customWidth="1"/>
    <col min="3" max="3" width="14.4453125" style="0" bestFit="1" customWidth="1"/>
    <col min="4" max="7" width="13.88671875" style="0" bestFit="1" customWidth="1"/>
    <col min="8" max="8" width="13.4453125" style="0" customWidth="1"/>
  </cols>
  <sheetData>
    <row r="1" spans="3:7" ht="13.5" thickBot="1">
      <c r="C1" s="78"/>
      <c r="D1" s="79"/>
      <c r="E1" s="80" t="s">
        <v>48</v>
      </c>
      <c r="F1" s="79"/>
      <c r="G1" s="81"/>
    </row>
    <row r="2" spans="1:8" ht="13.5" thickBot="1">
      <c r="A2" s="82" t="s">
        <v>121</v>
      </c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</row>
    <row r="3" spans="2:8" ht="13.5" thickBot="1">
      <c r="B3" s="88" t="s">
        <v>122</v>
      </c>
      <c r="C3" s="89">
        <v>3200000</v>
      </c>
      <c r="D3" s="90"/>
      <c r="E3" s="90"/>
      <c r="F3" s="89">
        <v>750000</v>
      </c>
      <c r="G3" s="90"/>
      <c r="H3" s="89">
        <v>50000</v>
      </c>
    </row>
    <row r="4" spans="2:8" ht="13.5" thickBot="1">
      <c r="B4" s="88" t="s">
        <v>123</v>
      </c>
      <c r="C4" s="91">
        <f>16752500*$C$22</f>
        <v>16752500</v>
      </c>
      <c r="D4" s="91">
        <f>14652500*$C$22</f>
        <v>14652500</v>
      </c>
      <c r="E4" s="91">
        <f>14652500*$C$22</f>
        <v>14652500</v>
      </c>
      <c r="F4" s="91">
        <f>10046250*$C$22</f>
        <v>10046250</v>
      </c>
      <c r="G4" s="91">
        <f>10046250*$C$22</f>
        <v>10046250</v>
      </c>
      <c r="H4" s="91">
        <f>9258750*$C$22</f>
        <v>9258750</v>
      </c>
    </row>
    <row r="5" spans="2:8" ht="13.5" thickBot="1">
      <c r="B5" s="88" t="s">
        <v>124</v>
      </c>
      <c r="C5" s="92">
        <f aca="true" t="shared" si="0" ref="C5:H5">4000000*$C$23</f>
        <v>4000000</v>
      </c>
      <c r="D5" s="92">
        <f t="shared" si="0"/>
        <v>4000000</v>
      </c>
      <c r="E5" s="92">
        <f t="shared" si="0"/>
        <v>4000000</v>
      </c>
      <c r="F5" s="92">
        <f t="shared" si="0"/>
        <v>4000000</v>
      </c>
      <c r="G5" s="92">
        <f t="shared" si="0"/>
        <v>4000000</v>
      </c>
      <c r="H5" s="92">
        <f t="shared" si="0"/>
        <v>4000000</v>
      </c>
    </row>
    <row r="6" spans="2:8" ht="13.5" thickBot="1">
      <c r="B6" s="36" t="s">
        <v>82</v>
      </c>
      <c r="C6" s="93">
        <f aca="true" t="shared" si="1" ref="C6:H6">SUM(C3:C5)</f>
        <v>23952500</v>
      </c>
      <c r="D6" s="93">
        <f t="shared" si="1"/>
        <v>18652500</v>
      </c>
      <c r="E6" s="93">
        <f t="shared" si="1"/>
        <v>18652500</v>
      </c>
      <c r="F6" s="93">
        <f t="shared" si="1"/>
        <v>14796250</v>
      </c>
      <c r="G6" s="93">
        <f t="shared" si="1"/>
        <v>14046250</v>
      </c>
      <c r="H6" s="93">
        <f t="shared" si="1"/>
        <v>13308750</v>
      </c>
    </row>
    <row r="7" spans="1:8" ht="13.5" thickBot="1">
      <c r="A7" s="82" t="s">
        <v>125</v>
      </c>
      <c r="C7" s="94">
        <f>7500000*$C$25</f>
        <v>7500000</v>
      </c>
      <c r="D7" s="94">
        <f>21000000*$C$25</f>
        <v>21000000</v>
      </c>
      <c r="E7" s="94">
        <f>21000000*$C$25</f>
        <v>21000000</v>
      </c>
      <c r="F7" s="94">
        <f>21000000*$C$25</f>
        <v>21000000</v>
      </c>
      <c r="G7" s="94">
        <f>21000000*$C$25</f>
        <v>21000000</v>
      </c>
      <c r="H7" s="94">
        <f>21000000*$C$25</f>
        <v>21000000</v>
      </c>
    </row>
    <row r="8" spans="2:8" ht="13.5" thickBot="1">
      <c r="B8" s="36" t="s">
        <v>126</v>
      </c>
      <c r="C8" s="95">
        <f aca="true" t="shared" si="2" ref="C8:H8">C7-C6</f>
        <v>-16452500</v>
      </c>
      <c r="D8" s="95">
        <f t="shared" si="2"/>
        <v>2347500</v>
      </c>
      <c r="E8" s="95">
        <f t="shared" si="2"/>
        <v>2347500</v>
      </c>
      <c r="F8" s="95">
        <f t="shared" si="2"/>
        <v>6203750</v>
      </c>
      <c r="G8" s="95">
        <f t="shared" si="2"/>
        <v>6953750</v>
      </c>
      <c r="H8" s="95">
        <f t="shared" si="2"/>
        <v>7691250</v>
      </c>
    </row>
    <row r="9" spans="2:3" ht="13.5" thickBot="1">
      <c r="B9" s="36" t="s">
        <v>127</v>
      </c>
      <c r="C9" s="83">
        <v>0.1</v>
      </c>
    </row>
    <row r="10" spans="1:12" ht="13.5" thickBot="1">
      <c r="A10" s="96"/>
      <c r="B10" s="97" t="s">
        <v>128</v>
      </c>
      <c r="C10" s="104">
        <f aca="true" t="shared" si="3" ref="C10:H10">1/(1+$C$9)^C2</f>
        <v>1</v>
      </c>
      <c r="D10" s="104">
        <f t="shared" si="3"/>
        <v>0.9090909090909091</v>
      </c>
      <c r="E10" s="104">
        <f t="shared" si="3"/>
        <v>0.8264462809917354</v>
      </c>
      <c r="F10" s="104">
        <f t="shared" si="3"/>
        <v>0.7513148009015775</v>
      </c>
      <c r="G10" s="104">
        <f t="shared" si="3"/>
        <v>0.6830134553650705</v>
      </c>
      <c r="H10" s="104">
        <f t="shared" si="3"/>
        <v>0.6209213230591549</v>
      </c>
      <c r="I10" s="96"/>
      <c r="J10" s="96"/>
      <c r="K10" s="96"/>
      <c r="L10" s="96"/>
    </row>
    <row r="11" ht="13.5" thickBot="1">
      <c r="A11" s="82" t="s">
        <v>3</v>
      </c>
    </row>
    <row r="12" spans="2:8" ht="13.5" thickBot="1">
      <c r="B12" s="88" t="s">
        <v>129</v>
      </c>
      <c r="C12" s="40">
        <f aca="true" t="shared" si="4" ref="C12:H12">C6*C10</f>
        <v>23952500</v>
      </c>
      <c r="D12" s="40">
        <f t="shared" si="4"/>
        <v>16956818.18181818</v>
      </c>
      <c r="E12" s="40">
        <f t="shared" si="4"/>
        <v>15415289.256198345</v>
      </c>
      <c r="F12" s="40">
        <f t="shared" si="4"/>
        <v>11116641.622839967</v>
      </c>
      <c r="G12" s="40">
        <f t="shared" si="4"/>
        <v>9593777.747421622</v>
      </c>
      <c r="H12" s="40">
        <f t="shared" si="4"/>
        <v>8263686.658263528</v>
      </c>
    </row>
    <row r="13" spans="2:8" ht="13.5" thickBot="1">
      <c r="B13" s="88" t="s">
        <v>130</v>
      </c>
      <c r="C13" s="40">
        <f aca="true" t="shared" si="5" ref="C13:H13">C10*C7</f>
        <v>7500000</v>
      </c>
      <c r="D13" s="40">
        <f t="shared" si="5"/>
        <v>19090909.09090909</v>
      </c>
      <c r="E13" s="40">
        <f t="shared" si="5"/>
        <v>17355371.900826443</v>
      </c>
      <c r="F13" s="40">
        <f t="shared" si="5"/>
        <v>15777610.818933127</v>
      </c>
      <c r="G13" s="40">
        <f t="shared" si="5"/>
        <v>14343282.562666481</v>
      </c>
      <c r="H13" s="40">
        <f t="shared" si="5"/>
        <v>13039347.784242254</v>
      </c>
    </row>
    <row r="14" spans="2:8" ht="13.5" thickBot="1">
      <c r="B14" s="88" t="s">
        <v>131</v>
      </c>
      <c r="C14" s="98">
        <f aca="true" t="shared" si="6" ref="C14:H14">C13-C12</f>
        <v>-16452500</v>
      </c>
      <c r="D14" s="98">
        <f t="shared" si="6"/>
        <v>2134090.90909091</v>
      </c>
      <c r="E14" s="98">
        <f t="shared" si="6"/>
        <v>1940082.6446280982</v>
      </c>
      <c r="F14" s="98">
        <f t="shared" si="6"/>
        <v>4660969.196093161</v>
      </c>
      <c r="G14" s="98">
        <f t="shared" si="6"/>
        <v>4749504.815244859</v>
      </c>
      <c r="H14" s="98">
        <f t="shared" si="6"/>
        <v>4775661.125978726</v>
      </c>
    </row>
    <row r="15" spans="2:8" ht="13.5" thickBot="1">
      <c r="B15" s="88" t="s">
        <v>4</v>
      </c>
      <c r="C15" s="40">
        <f>SUM(C12:H12)</f>
        <v>85298713.46654165</v>
      </c>
      <c r="D15" s="99"/>
      <c r="E15" s="99"/>
      <c r="F15" s="99"/>
      <c r="G15" s="99"/>
      <c r="H15" s="99"/>
    </row>
    <row r="16" spans="2:10" ht="13.5" thickBot="1">
      <c r="B16" s="88" t="s">
        <v>5</v>
      </c>
      <c r="C16" s="40">
        <f>SUM(C13:H13)</f>
        <v>87106522.1575774</v>
      </c>
      <c r="D16" s="84"/>
      <c r="E16" s="84"/>
      <c r="F16" s="84">
        <v>1</v>
      </c>
      <c r="G16" s="84">
        <v>2</v>
      </c>
      <c r="H16" s="84">
        <v>3</v>
      </c>
      <c r="I16" s="84">
        <v>4</v>
      </c>
      <c r="J16" s="84">
        <v>5</v>
      </c>
    </row>
    <row r="17" spans="2:10" ht="13.5" thickBot="1">
      <c r="B17" s="36" t="s">
        <v>6</v>
      </c>
      <c r="C17" s="40">
        <f>C16-C15</f>
        <v>1807808.6910357475</v>
      </c>
      <c r="D17" s="85" t="s">
        <v>7</v>
      </c>
      <c r="E17" s="84">
        <v>23952500</v>
      </c>
      <c r="F17" s="84">
        <v>18652500</v>
      </c>
      <c r="G17" s="84">
        <v>18652500</v>
      </c>
      <c r="H17" s="84">
        <v>14796250</v>
      </c>
      <c r="I17" s="84">
        <v>14046250</v>
      </c>
      <c r="J17" s="84">
        <v>13308750</v>
      </c>
    </row>
    <row r="18" spans="2:10" ht="13.5" thickBot="1">
      <c r="B18" s="36" t="s">
        <v>85</v>
      </c>
      <c r="C18" s="47">
        <f>C16/C15</f>
        <v>1.021193856478795</v>
      </c>
      <c r="D18" s="85" t="s">
        <v>86</v>
      </c>
      <c r="E18" s="84">
        <v>7500000</v>
      </c>
      <c r="F18" s="84">
        <v>21000000</v>
      </c>
      <c r="G18" s="84">
        <v>21000000</v>
      </c>
      <c r="H18" s="84">
        <v>21000000</v>
      </c>
      <c r="I18" s="84">
        <v>21000000</v>
      </c>
      <c r="J18" s="84">
        <v>21000000</v>
      </c>
    </row>
    <row r="19" spans="2:11" ht="13.5" thickBot="1">
      <c r="B19" s="36" t="s">
        <v>87</v>
      </c>
      <c r="C19" s="86">
        <f>IRR(C8:H8)</f>
        <v>0.1340746337474012</v>
      </c>
      <c r="D19" s="85"/>
      <c r="E19" s="84"/>
      <c r="F19" s="84"/>
      <c r="G19" s="84"/>
      <c r="H19" s="84"/>
      <c r="I19" s="84"/>
      <c r="J19" s="84"/>
      <c r="K19" s="87"/>
    </row>
    <row r="21" ht="13.5" thickBot="1">
      <c r="A21" t="s">
        <v>132</v>
      </c>
    </row>
    <row r="22" spans="2:4" ht="13.5" thickBot="1">
      <c r="B22" s="88" t="s">
        <v>133</v>
      </c>
      <c r="C22" s="100">
        <v>1</v>
      </c>
      <c r="D22" s="101"/>
    </row>
    <row r="23" spans="2:4" ht="13.5" thickBot="1">
      <c r="B23" s="88" t="s">
        <v>134</v>
      </c>
      <c r="C23" s="100">
        <v>1</v>
      </c>
      <c r="D23" s="102"/>
    </row>
    <row r="24" spans="4:6" ht="13.5" thickBot="1">
      <c r="D24" s="62" t="s">
        <v>2</v>
      </c>
      <c r="E24" s="88"/>
      <c r="F24" s="88"/>
    </row>
    <row r="25" spans="2:4" ht="13.5" thickBot="1">
      <c r="B25" s="88" t="s">
        <v>135</v>
      </c>
      <c r="C25" s="100">
        <v>1</v>
      </c>
      <c r="D25" s="103"/>
    </row>
    <row r="27" ht="12.75">
      <c r="A27" t="s">
        <v>24</v>
      </c>
    </row>
    <row r="28" ht="12.75">
      <c r="A28" t="s">
        <v>25</v>
      </c>
    </row>
    <row r="29" ht="12.75">
      <c r="A29" t="s">
        <v>67</v>
      </c>
    </row>
    <row r="30" ht="12.75">
      <c r="A30" t="s">
        <v>68</v>
      </c>
    </row>
    <row r="31" ht="12.75">
      <c r="A31" t="s">
        <v>69</v>
      </c>
    </row>
    <row r="32" ht="12.75">
      <c r="A32" t="s">
        <v>0</v>
      </c>
    </row>
    <row r="33" ht="12.75">
      <c r="A33" t="s">
        <v>1</v>
      </c>
    </row>
    <row r="36" spans="4:10" ht="12.75">
      <c r="D36" s="85"/>
      <c r="E36" s="84">
        <v>0</v>
      </c>
      <c r="F36" s="84">
        <v>1</v>
      </c>
      <c r="G36" s="84">
        <v>2</v>
      </c>
      <c r="H36" s="84">
        <v>3</v>
      </c>
      <c r="I36" s="84">
        <v>4</v>
      </c>
      <c r="J36" s="84">
        <v>5</v>
      </c>
    </row>
    <row r="37" spans="4:10" ht="12.75">
      <c r="D37" s="85" t="s">
        <v>88</v>
      </c>
      <c r="E37" s="84">
        <v>-16452500</v>
      </c>
      <c r="F37" s="84">
        <v>2347500</v>
      </c>
      <c r="G37" s="84">
        <v>2347500</v>
      </c>
      <c r="H37" s="84">
        <v>6203750</v>
      </c>
      <c r="I37" s="84">
        <v>6953750</v>
      </c>
      <c r="J37" s="84">
        <v>7691250</v>
      </c>
    </row>
    <row r="38" spans="4:10" ht="12.75">
      <c r="D38" s="85" t="s">
        <v>26</v>
      </c>
      <c r="E38" s="84">
        <v>-16452500</v>
      </c>
      <c r="F38" s="84">
        <v>2134090.90909091</v>
      </c>
      <c r="G38" s="84">
        <v>1940082.6446281</v>
      </c>
      <c r="H38" s="84">
        <v>4660969.19609316</v>
      </c>
      <c r="I38" s="84">
        <v>4749504.81524486</v>
      </c>
      <c r="J38" s="84">
        <v>4775661.12597872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0"/>
  <sheetViews>
    <sheetView zoomScale="115" zoomScaleNormal="115" workbookViewId="0" topLeftCell="A1">
      <pane ySplit="10660" topLeftCell="BM45" activePane="bottomLeft" state="split"/>
      <selection pane="topLeft" activeCell="C64" sqref="C64"/>
      <selection pane="bottomLeft" activeCell="C52" sqref="C52"/>
    </sheetView>
  </sheetViews>
  <sheetFormatPr defaultColWidth="11.5546875" defaultRowHeight="15.75"/>
  <cols>
    <col min="1" max="1" width="31.99609375" style="1" customWidth="1"/>
    <col min="2" max="2" width="8.3359375" style="1" customWidth="1"/>
    <col min="3" max="3" width="16.99609375" style="1" customWidth="1"/>
    <col min="4" max="4" width="14.6640625" style="1" customWidth="1"/>
    <col min="5" max="5" width="14.10546875" style="7" customWidth="1"/>
    <col min="6" max="6" width="6.99609375" style="1" customWidth="1"/>
    <col min="7" max="7" width="13.5546875" style="1" customWidth="1"/>
    <col min="8" max="8" width="14.5546875" style="1" customWidth="1"/>
    <col min="9" max="9" width="14.99609375" style="7" customWidth="1"/>
    <col min="10" max="10" width="6.99609375" style="1" customWidth="1"/>
    <col min="11" max="11" width="13.5546875" style="1" customWidth="1"/>
    <col min="12" max="12" width="8.3359375" style="1" customWidth="1"/>
    <col min="13" max="13" width="14.3359375" style="7" customWidth="1"/>
    <col min="14" max="14" width="7.88671875" style="1" customWidth="1"/>
    <col min="15" max="15" width="13.5546875" style="1" customWidth="1"/>
    <col min="16" max="16" width="6.6640625" style="1" customWidth="1"/>
    <col min="17" max="17" width="13.88671875" style="7" customWidth="1"/>
    <col min="18" max="18" width="7.99609375" style="1" customWidth="1"/>
    <col min="19" max="19" width="12.4453125" style="1" customWidth="1"/>
    <col min="20" max="20" width="7.5546875" style="1" customWidth="1"/>
    <col min="21" max="21" width="13.99609375" style="7" customWidth="1"/>
    <col min="22" max="22" width="5.6640625" style="1" customWidth="1"/>
    <col min="23" max="23" width="13.5546875" style="1" customWidth="1"/>
    <col min="24" max="24" width="6.6640625" style="1" customWidth="1"/>
    <col min="25" max="25" width="13.88671875" style="7" customWidth="1"/>
    <col min="26" max="26" width="10.6640625" style="1" customWidth="1"/>
    <col min="27" max="27" width="0.10546875" style="1" customWidth="1"/>
    <col min="28" max="16384" width="10.6640625" style="1" customWidth="1"/>
  </cols>
  <sheetData>
    <row r="1" spans="2:27" ht="13.5" thickBot="1">
      <c r="B1" s="2"/>
      <c r="C1" s="3"/>
      <c r="D1" s="3"/>
      <c r="E1" s="4" t="s">
        <v>89</v>
      </c>
      <c r="F1" s="3"/>
      <c r="G1" s="3"/>
      <c r="H1" s="5"/>
      <c r="I1" s="6"/>
      <c r="K1" s="7"/>
      <c r="M1" s="6"/>
      <c r="O1" s="7"/>
      <c r="Q1" s="6"/>
      <c r="S1" s="7"/>
      <c r="U1" s="6"/>
      <c r="W1" s="7"/>
      <c r="Y1" s="6"/>
      <c r="AA1" s="7"/>
    </row>
    <row r="2" spans="2:25" ht="12.75">
      <c r="B2" s="8"/>
      <c r="C2" s="8"/>
      <c r="D2" s="9" t="s">
        <v>90</v>
      </c>
      <c r="E2" s="10" t="s">
        <v>91</v>
      </c>
      <c r="F2" s="8"/>
      <c r="G2" s="8"/>
      <c r="H2" s="9" t="s">
        <v>90</v>
      </c>
      <c r="I2" s="10" t="s">
        <v>92</v>
      </c>
      <c r="J2" s="8"/>
      <c r="K2" s="8"/>
      <c r="L2" s="9" t="s">
        <v>90</v>
      </c>
      <c r="M2" s="10" t="s">
        <v>93</v>
      </c>
      <c r="N2" s="8"/>
      <c r="O2" s="8"/>
      <c r="P2" s="9" t="s">
        <v>90</v>
      </c>
      <c r="Q2" s="10" t="s">
        <v>94</v>
      </c>
      <c r="R2" s="8"/>
      <c r="S2" s="8"/>
      <c r="T2" s="8" t="s">
        <v>90</v>
      </c>
      <c r="U2" s="10" t="s">
        <v>95</v>
      </c>
      <c r="V2" s="8"/>
      <c r="W2" s="8"/>
      <c r="X2" s="8" t="s">
        <v>90</v>
      </c>
      <c r="Y2" s="10" t="s">
        <v>96</v>
      </c>
    </row>
    <row r="3" spans="1:31" ht="12.75">
      <c r="A3" s="6" t="s">
        <v>97</v>
      </c>
      <c r="B3" s="11" t="s">
        <v>98</v>
      </c>
      <c r="C3" s="11" t="s">
        <v>99</v>
      </c>
      <c r="D3" s="11" t="s">
        <v>100</v>
      </c>
      <c r="E3" s="12" t="s">
        <v>101</v>
      </c>
      <c r="F3" s="11" t="s">
        <v>98</v>
      </c>
      <c r="G3" s="11" t="s">
        <v>99</v>
      </c>
      <c r="H3" s="11" t="s">
        <v>100</v>
      </c>
      <c r="I3" s="12" t="s">
        <v>101</v>
      </c>
      <c r="J3" s="11" t="s">
        <v>98</v>
      </c>
      <c r="K3" s="11" t="s">
        <v>99</v>
      </c>
      <c r="L3" s="11" t="s">
        <v>100</v>
      </c>
      <c r="M3" s="12" t="s">
        <v>101</v>
      </c>
      <c r="N3" s="11" t="s">
        <v>98</v>
      </c>
      <c r="O3" s="11" t="s">
        <v>99</v>
      </c>
      <c r="P3" s="11" t="s">
        <v>100</v>
      </c>
      <c r="Q3" s="12" t="s">
        <v>101</v>
      </c>
      <c r="R3" s="11" t="s">
        <v>98</v>
      </c>
      <c r="S3" s="11" t="s">
        <v>99</v>
      </c>
      <c r="T3" s="11" t="s">
        <v>100</v>
      </c>
      <c r="U3" s="12" t="s">
        <v>101</v>
      </c>
      <c r="V3" s="11" t="s">
        <v>98</v>
      </c>
      <c r="W3" s="11" t="s">
        <v>99</v>
      </c>
      <c r="X3" s="11" t="s">
        <v>100</v>
      </c>
      <c r="Y3" s="12" t="s">
        <v>101</v>
      </c>
      <c r="Z3" s="13"/>
      <c r="AA3" s="13"/>
      <c r="AB3" s="13"/>
      <c r="AC3" s="13"/>
      <c r="AD3" s="13"/>
      <c r="AE3" s="13"/>
    </row>
    <row r="4" spans="1:25" ht="12.75">
      <c r="A4" s="7" t="s">
        <v>102</v>
      </c>
      <c r="B4" s="14"/>
      <c r="C4" s="14"/>
      <c r="D4" s="14"/>
      <c r="E4" s="15"/>
      <c r="F4" s="14"/>
      <c r="G4" s="14"/>
      <c r="H4" s="14"/>
      <c r="I4" s="15"/>
      <c r="J4" s="14"/>
      <c r="K4" s="14"/>
      <c r="L4" s="14"/>
      <c r="M4" s="15"/>
      <c r="N4" s="14"/>
      <c r="O4" s="14"/>
      <c r="P4" s="14"/>
      <c r="Q4" s="15"/>
      <c r="R4" s="14"/>
      <c r="S4" s="14"/>
      <c r="T4" s="14"/>
      <c r="U4" s="15"/>
      <c r="V4" s="14"/>
      <c r="W4" s="14"/>
      <c r="X4" s="14"/>
      <c r="Y4" s="15"/>
    </row>
    <row r="5" spans="1:25" ht="12.75">
      <c r="A5" s="16" t="s">
        <v>103</v>
      </c>
      <c r="B5" s="14"/>
      <c r="C5" s="14"/>
      <c r="D5" s="14"/>
      <c r="E5" s="15"/>
      <c r="F5" s="14"/>
      <c r="G5" s="14"/>
      <c r="H5" s="14"/>
      <c r="I5" s="15"/>
      <c r="J5" s="14"/>
      <c r="K5" s="14"/>
      <c r="L5" s="14"/>
      <c r="M5" s="15"/>
      <c r="N5" s="14"/>
      <c r="O5" s="14"/>
      <c r="P5" s="14"/>
      <c r="Q5" s="15"/>
      <c r="R5" s="14"/>
      <c r="S5" s="14"/>
      <c r="T5" s="14"/>
      <c r="U5" s="15"/>
      <c r="V5" s="14"/>
      <c r="W5" s="14"/>
      <c r="X5" s="14"/>
      <c r="Y5" s="15"/>
    </row>
    <row r="6" spans="1:25" ht="12.75">
      <c r="A6" s="16" t="s">
        <v>104</v>
      </c>
      <c r="B6" s="17">
        <v>1</v>
      </c>
      <c r="C6" s="18">
        <f>250000*$C$52</f>
        <v>250000</v>
      </c>
      <c r="D6" s="19">
        <v>12</v>
      </c>
      <c r="E6" s="20">
        <f aca="true" t="shared" si="0" ref="E6:E12">C6*B6*D6</f>
        <v>3000000</v>
      </c>
      <c r="F6" s="17">
        <v>1</v>
      </c>
      <c r="G6" s="18">
        <f>250000*$C$52</f>
        <v>250000</v>
      </c>
      <c r="H6" s="19">
        <v>12</v>
      </c>
      <c r="I6" s="20">
        <f aca="true" t="shared" si="1" ref="I6:I12">G6*F6*H6</f>
        <v>3000000</v>
      </c>
      <c r="J6" s="17">
        <v>1</v>
      </c>
      <c r="K6" s="18">
        <f>250000*$C$52</f>
        <v>250000</v>
      </c>
      <c r="L6" s="19">
        <v>12</v>
      </c>
      <c r="M6" s="20">
        <f aca="true" t="shared" si="2" ref="M6:M12">K6*J6*L6</f>
        <v>3000000</v>
      </c>
      <c r="N6" s="19">
        <v>1</v>
      </c>
      <c r="O6" s="18">
        <f>250000*$C$52</f>
        <v>250000</v>
      </c>
      <c r="P6" s="19">
        <v>12</v>
      </c>
      <c r="Q6" s="20">
        <f aca="true" t="shared" si="3" ref="Q6:Q12">O6*N6*P6</f>
        <v>3000000</v>
      </c>
      <c r="R6" s="17">
        <v>1</v>
      </c>
      <c r="S6" s="18">
        <f>250000*$C$52</f>
        <v>250000</v>
      </c>
      <c r="T6" s="19">
        <v>12</v>
      </c>
      <c r="U6" s="20">
        <f aca="true" t="shared" si="4" ref="U6:U12">S6*R6*T6</f>
        <v>3000000</v>
      </c>
      <c r="V6" s="17">
        <v>1</v>
      </c>
      <c r="W6" s="18">
        <f>250000*$C$52</f>
        <v>250000</v>
      </c>
      <c r="X6" s="19">
        <v>12</v>
      </c>
      <c r="Y6" s="20">
        <f aca="true" t="shared" si="5" ref="Y6:Y12">W6*V6*X6</f>
        <v>3000000</v>
      </c>
    </row>
    <row r="7" spans="1:25" ht="12.75">
      <c r="A7" s="16" t="s">
        <v>105</v>
      </c>
      <c r="B7" s="17">
        <v>1</v>
      </c>
      <c r="C7" s="18">
        <f>125000*$C$52</f>
        <v>125000</v>
      </c>
      <c r="D7" s="19">
        <v>12</v>
      </c>
      <c r="E7" s="20">
        <f t="shared" si="0"/>
        <v>1500000</v>
      </c>
      <c r="F7" s="17">
        <v>1</v>
      </c>
      <c r="G7" s="18">
        <f>125000*$C$52</f>
        <v>125000</v>
      </c>
      <c r="H7" s="19">
        <v>12</v>
      </c>
      <c r="I7" s="20">
        <f t="shared" si="1"/>
        <v>1500000</v>
      </c>
      <c r="J7" s="17">
        <v>1</v>
      </c>
      <c r="K7" s="18">
        <f>125000*$C$52</f>
        <v>125000</v>
      </c>
      <c r="L7" s="19">
        <v>12</v>
      </c>
      <c r="M7" s="20">
        <f t="shared" si="2"/>
        <v>1500000</v>
      </c>
      <c r="N7" s="19">
        <v>1</v>
      </c>
      <c r="O7" s="18">
        <f>125000*$C$52</f>
        <v>125000</v>
      </c>
      <c r="P7" s="19">
        <v>12</v>
      </c>
      <c r="Q7" s="20">
        <f t="shared" si="3"/>
        <v>1500000</v>
      </c>
      <c r="R7" s="17">
        <v>1</v>
      </c>
      <c r="S7" s="18">
        <f>125000*$C$52</f>
        <v>125000</v>
      </c>
      <c r="T7" s="19">
        <v>12</v>
      </c>
      <c r="U7" s="20">
        <f t="shared" si="4"/>
        <v>1500000</v>
      </c>
      <c r="V7" s="17">
        <v>1</v>
      </c>
      <c r="W7" s="18">
        <f>125000*$C$52</f>
        <v>125000</v>
      </c>
      <c r="X7" s="19">
        <v>12</v>
      </c>
      <c r="Y7" s="20">
        <f t="shared" si="5"/>
        <v>1500000</v>
      </c>
    </row>
    <row r="8" spans="1:25" ht="12.75">
      <c r="A8" s="16" t="s">
        <v>106</v>
      </c>
      <c r="B8" s="17">
        <v>1</v>
      </c>
      <c r="C8" s="18">
        <f>95000*$C$52</f>
        <v>95000</v>
      </c>
      <c r="D8" s="19">
        <v>12</v>
      </c>
      <c r="E8" s="20">
        <f t="shared" si="0"/>
        <v>1140000</v>
      </c>
      <c r="F8" s="17">
        <v>1</v>
      </c>
      <c r="G8" s="18">
        <f>95000*$C$52</f>
        <v>95000</v>
      </c>
      <c r="H8" s="19">
        <v>12</v>
      </c>
      <c r="I8" s="20">
        <f t="shared" si="1"/>
        <v>1140000</v>
      </c>
      <c r="J8" s="17">
        <v>1</v>
      </c>
      <c r="K8" s="18">
        <f>95000*$C$52</f>
        <v>95000</v>
      </c>
      <c r="L8" s="19">
        <v>12</v>
      </c>
      <c r="M8" s="20">
        <f t="shared" si="2"/>
        <v>1140000</v>
      </c>
      <c r="N8" s="19">
        <v>1</v>
      </c>
      <c r="O8" s="18">
        <f>95000*$C$52</f>
        <v>95000</v>
      </c>
      <c r="P8" s="19">
        <v>12</v>
      </c>
      <c r="Q8" s="20">
        <f t="shared" si="3"/>
        <v>1140000</v>
      </c>
      <c r="R8" s="17">
        <v>1</v>
      </c>
      <c r="S8" s="18">
        <f>95000*$C$52</f>
        <v>95000</v>
      </c>
      <c r="T8" s="19">
        <v>12</v>
      </c>
      <c r="U8" s="20">
        <f t="shared" si="4"/>
        <v>1140000</v>
      </c>
      <c r="V8" s="17">
        <v>1</v>
      </c>
      <c r="W8" s="18">
        <f>95000*$C$52</f>
        <v>95000</v>
      </c>
      <c r="X8" s="19">
        <v>12</v>
      </c>
      <c r="Y8" s="20">
        <f t="shared" si="5"/>
        <v>1140000</v>
      </c>
    </row>
    <row r="9" spans="1:25" ht="12.75">
      <c r="A9" s="16" t="s">
        <v>107</v>
      </c>
      <c r="B9" s="17">
        <v>5</v>
      </c>
      <c r="C9" s="18">
        <f>35000*$C$52</f>
        <v>35000</v>
      </c>
      <c r="D9" s="19">
        <v>12</v>
      </c>
      <c r="E9" s="20">
        <f t="shared" si="0"/>
        <v>2100000</v>
      </c>
      <c r="F9" s="17">
        <v>0</v>
      </c>
      <c r="G9" s="18">
        <f>35000*$C$52</f>
        <v>35000</v>
      </c>
      <c r="H9" s="19">
        <v>12</v>
      </c>
      <c r="I9" s="20">
        <f t="shared" si="1"/>
        <v>0</v>
      </c>
      <c r="J9" s="17">
        <v>0</v>
      </c>
      <c r="K9" s="18">
        <f>35000*$C$52</f>
        <v>35000</v>
      </c>
      <c r="L9" s="19">
        <v>12</v>
      </c>
      <c r="M9" s="20">
        <f t="shared" si="2"/>
        <v>0</v>
      </c>
      <c r="N9" s="19">
        <v>0</v>
      </c>
      <c r="O9" s="18">
        <f>35000*$C$52</f>
        <v>35000</v>
      </c>
      <c r="P9" s="19">
        <v>0</v>
      </c>
      <c r="Q9" s="20">
        <f t="shared" si="3"/>
        <v>0</v>
      </c>
      <c r="R9" s="17">
        <v>0</v>
      </c>
      <c r="S9" s="18">
        <f>35000*$C$52</f>
        <v>35000</v>
      </c>
      <c r="T9" s="19">
        <v>0</v>
      </c>
      <c r="U9" s="20">
        <f t="shared" si="4"/>
        <v>0</v>
      </c>
      <c r="V9" s="17">
        <v>0</v>
      </c>
      <c r="W9" s="18">
        <f>35000*$C$52</f>
        <v>35000</v>
      </c>
      <c r="X9" s="19">
        <v>0</v>
      </c>
      <c r="Y9" s="20">
        <f t="shared" si="5"/>
        <v>0</v>
      </c>
    </row>
    <row r="10" spans="1:25" ht="12.75">
      <c r="A10" s="16" t="s">
        <v>108</v>
      </c>
      <c r="B10" s="17">
        <v>5</v>
      </c>
      <c r="C10" s="18">
        <f>70000*$C$52</f>
        <v>70000</v>
      </c>
      <c r="D10" s="19">
        <v>12</v>
      </c>
      <c r="E10" s="20">
        <f t="shared" si="0"/>
        <v>4200000</v>
      </c>
      <c r="F10" s="17">
        <v>5</v>
      </c>
      <c r="G10" s="18">
        <f>70000*$C$52</f>
        <v>70000</v>
      </c>
      <c r="H10" s="19">
        <v>12</v>
      </c>
      <c r="I10" s="20">
        <f t="shared" si="1"/>
        <v>4200000</v>
      </c>
      <c r="J10" s="17">
        <v>5</v>
      </c>
      <c r="K10" s="18">
        <f>70000*$C$52</f>
        <v>70000</v>
      </c>
      <c r="L10" s="19">
        <v>12</v>
      </c>
      <c r="M10" s="20">
        <f t="shared" si="2"/>
        <v>4200000</v>
      </c>
      <c r="N10" s="19">
        <v>0</v>
      </c>
      <c r="O10" s="18">
        <f>70000*$C$52</f>
        <v>70000</v>
      </c>
      <c r="P10" s="19">
        <v>0</v>
      </c>
      <c r="Q10" s="20">
        <f t="shared" si="3"/>
        <v>0</v>
      </c>
      <c r="R10" s="17">
        <v>0</v>
      </c>
      <c r="S10" s="18">
        <f>70000*$C$52</f>
        <v>70000</v>
      </c>
      <c r="T10" s="19">
        <v>0</v>
      </c>
      <c r="U10" s="20">
        <f t="shared" si="4"/>
        <v>0</v>
      </c>
      <c r="V10" s="17">
        <v>0</v>
      </c>
      <c r="W10" s="18">
        <f>70000*$C$52</f>
        <v>70000</v>
      </c>
      <c r="X10" s="19">
        <v>0</v>
      </c>
      <c r="Y10" s="20">
        <f t="shared" si="5"/>
        <v>0</v>
      </c>
    </row>
    <row r="11" spans="1:25" ht="12.75">
      <c r="A11" s="16" t="s">
        <v>109</v>
      </c>
      <c r="B11" s="17">
        <v>5</v>
      </c>
      <c r="C11" s="18">
        <f>25000*$C$52</f>
        <v>25000</v>
      </c>
      <c r="D11" s="19">
        <v>12</v>
      </c>
      <c r="E11" s="20">
        <f t="shared" si="0"/>
        <v>1500000</v>
      </c>
      <c r="F11" s="17">
        <v>5</v>
      </c>
      <c r="G11" s="18">
        <f>25000*$C$52</f>
        <v>25000</v>
      </c>
      <c r="H11" s="19">
        <v>12</v>
      </c>
      <c r="I11" s="20">
        <f t="shared" si="1"/>
        <v>1500000</v>
      </c>
      <c r="J11" s="17">
        <v>5</v>
      </c>
      <c r="K11" s="18">
        <f>25000*$C$52</f>
        <v>25000</v>
      </c>
      <c r="L11" s="19">
        <v>12</v>
      </c>
      <c r="M11" s="20">
        <f t="shared" si="2"/>
        <v>1500000</v>
      </c>
      <c r="N11" s="19">
        <v>5</v>
      </c>
      <c r="O11" s="18">
        <f>25000*$C$52</f>
        <v>25000</v>
      </c>
      <c r="P11" s="19">
        <v>12</v>
      </c>
      <c r="Q11" s="20">
        <f t="shared" si="3"/>
        <v>1500000</v>
      </c>
      <c r="R11" s="17">
        <v>5</v>
      </c>
      <c r="S11" s="18">
        <f>25000*$C$52</f>
        <v>25000</v>
      </c>
      <c r="T11" s="19">
        <v>12</v>
      </c>
      <c r="U11" s="20">
        <f t="shared" si="4"/>
        <v>1500000</v>
      </c>
      <c r="V11" s="17">
        <v>5</v>
      </c>
      <c r="W11" s="18">
        <f>25000*$C$52</f>
        <v>25000</v>
      </c>
      <c r="X11" s="19">
        <v>12</v>
      </c>
      <c r="Y11" s="20">
        <f t="shared" si="5"/>
        <v>1500000</v>
      </c>
    </row>
    <row r="12" spans="1:25" ht="12.75">
      <c r="A12" s="16" t="s">
        <v>110</v>
      </c>
      <c r="B12" s="17">
        <v>1</v>
      </c>
      <c r="C12" s="18">
        <f>75000*$C$52</f>
        <v>75000</v>
      </c>
      <c r="D12" s="19">
        <v>12</v>
      </c>
      <c r="E12" s="20">
        <f t="shared" si="0"/>
        <v>900000</v>
      </c>
      <c r="F12" s="17">
        <v>1</v>
      </c>
      <c r="G12" s="18">
        <f>75000*$C$52</f>
        <v>75000</v>
      </c>
      <c r="H12" s="19">
        <v>12</v>
      </c>
      <c r="I12" s="20">
        <f t="shared" si="1"/>
        <v>900000</v>
      </c>
      <c r="J12" s="17">
        <v>1</v>
      </c>
      <c r="K12" s="18">
        <f>75000*$C$52</f>
        <v>75000</v>
      </c>
      <c r="L12" s="19">
        <v>12</v>
      </c>
      <c r="M12" s="20">
        <f t="shared" si="2"/>
        <v>900000</v>
      </c>
      <c r="N12" s="19">
        <v>1</v>
      </c>
      <c r="O12" s="18">
        <f>75000*$C$52</f>
        <v>75000</v>
      </c>
      <c r="P12" s="19">
        <v>12</v>
      </c>
      <c r="Q12" s="20">
        <f t="shared" si="3"/>
        <v>900000</v>
      </c>
      <c r="R12" s="17">
        <v>1</v>
      </c>
      <c r="S12" s="18">
        <f>75000*$C$52</f>
        <v>75000</v>
      </c>
      <c r="T12" s="19">
        <v>12</v>
      </c>
      <c r="U12" s="20">
        <f t="shared" si="4"/>
        <v>900000</v>
      </c>
      <c r="V12" s="17">
        <v>1</v>
      </c>
      <c r="W12" s="18">
        <f>75000*$C$52</f>
        <v>75000</v>
      </c>
      <c r="X12" s="19">
        <v>12</v>
      </c>
      <c r="Y12" s="20">
        <f t="shared" si="5"/>
        <v>900000</v>
      </c>
    </row>
    <row r="13" spans="1:25" ht="12.75">
      <c r="A13" s="16" t="s">
        <v>111</v>
      </c>
      <c r="B13" s="17"/>
      <c r="C13" s="18"/>
      <c r="D13" s="19"/>
      <c r="E13" s="20"/>
      <c r="F13" s="17"/>
      <c r="G13" s="18"/>
      <c r="H13" s="19"/>
      <c r="I13" s="20"/>
      <c r="J13" s="17"/>
      <c r="K13" s="18"/>
      <c r="L13" s="19"/>
      <c r="M13" s="20"/>
      <c r="N13" s="19"/>
      <c r="O13" s="18"/>
      <c r="P13" s="19"/>
      <c r="Q13" s="20"/>
      <c r="R13" s="17"/>
      <c r="S13" s="18"/>
      <c r="T13" s="19"/>
      <c r="U13" s="20"/>
      <c r="V13" s="17"/>
      <c r="W13" s="18"/>
      <c r="X13" s="19"/>
      <c r="Y13" s="20"/>
    </row>
    <row r="14" spans="1:26" ht="12.75">
      <c r="A14" s="16" t="s">
        <v>112</v>
      </c>
      <c r="B14" s="17">
        <v>1250</v>
      </c>
      <c r="C14" s="18">
        <f>325*$C$53</f>
        <v>325</v>
      </c>
      <c r="D14" s="19">
        <v>1</v>
      </c>
      <c r="E14" s="20">
        <f>C14*B14*D14</f>
        <v>406250</v>
      </c>
      <c r="F14" s="17">
        <v>1250</v>
      </c>
      <c r="G14" s="18">
        <f>325*$C$53</f>
        <v>325</v>
      </c>
      <c r="H14" s="19">
        <v>1</v>
      </c>
      <c r="I14" s="20">
        <f>G14*F14*H14</f>
        <v>406250</v>
      </c>
      <c r="J14" s="17">
        <v>1250</v>
      </c>
      <c r="K14" s="18">
        <f>325*$C$53</f>
        <v>325</v>
      </c>
      <c r="L14" s="19">
        <v>1</v>
      </c>
      <c r="M14" s="20">
        <f>K14*J14*L14</f>
        <v>406250</v>
      </c>
      <c r="N14" s="19">
        <v>0</v>
      </c>
      <c r="O14" s="18">
        <f>325*$C$53</f>
        <v>325</v>
      </c>
      <c r="P14" s="19">
        <v>1</v>
      </c>
      <c r="Q14" s="20">
        <f>O14*N14*P14</f>
        <v>0</v>
      </c>
      <c r="R14" s="17">
        <v>0</v>
      </c>
      <c r="S14" s="18">
        <f>325*$C$53</f>
        <v>325</v>
      </c>
      <c r="T14" s="19">
        <v>1</v>
      </c>
      <c r="U14" s="20"/>
      <c r="V14" s="17">
        <v>0</v>
      </c>
      <c r="W14" s="18">
        <f>325*$C$53</f>
        <v>325</v>
      </c>
      <c r="X14" s="19">
        <v>1</v>
      </c>
      <c r="Y14" s="20"/>
      <c r="Z14" s="7"/>
    </row>
    <row r="15" spans="1:25" ht="12.75">
      <c r="A15" s="16" t="s">
        <v>113</v>
      </c>
      <c r="B15" s="17"/>
      <c r="C15" s="18"/>
      <c r="D15" s="19"/>
      <c r="E15" s="20"/>
      <c r="F15" s="17"/>
      <c r="G15" s="18"/>
      <c r="H15" s="19"/>
      <c r="I15" s="20"/>
      <c r="J15" s="17"/>
      <c r="K15" s="18"/>
      <c r="L15" s="19"/>
      <c r="M15" s="20"/>
      <c r="N15" s="19"/>
      <c r="O15" s="18"/>
      <c r="P15" s="19"/>
      <c r="Q15" s="20"/>
      <c r="R15" s="17"/>
      <c r="S15" s="18"/>
      <c r="T15" s="19"/>
      <c r="U15" s="20"/>
      <c r="V15" s="17"/>
      <c r="W15" s="18"/>
      <c r="X15" s="19"/>
      <c r="Y15" s="20"/>
    </row>
    <row r="16" spans="1:27" ht="12.75">
      <c r="A16" s="16" t="s">
        <v>114</v>
      </c>
      <c r="B16" s="17">
        <v>3750</v>
      </c>
      <c r="C16" s="18">
        <f>325*$C$53</f>
        <v>325</v>
      </c>
      <c r="D16" s="19">
        <v>1</v>
      </c>
      <c r="E16" s="20">
        <f>C16*B16*D16</f>
        <v>1218750</v>
      </c>
      <c r="F16" s="17">
        <v>3750</v>
      </c>
      <c r="G16" s="18">
        <f>325*$C$53</f>
        <v>325</v>
      </c>
      <c r="H16" s="19">
        <v>1</v>
      </c>
      <c r="I16" s="20">
        <f>G16*F16*H16</f>
        <v>1218750</v>
      </c>
      <c r="J16" s="17">
        <v>3750</v>
      </c>
      <c r="K16" s="18">
        <f>325*$C$53</f>
        <v>325</v>
      </c>
      <c r="L16" s="19">
        <v>1</v>
      </c>
      <c r="M16" s="20">
        <f>K16*J16*L16</f>
        <v>1218750</v>
      </c>
      <c r="N16" s="19">
        <v>3750</v>
      </c>
      <c r="O16" s="18">
        <f>325*$C$53</f>
        <v>325</v>
      </c>
      <c r="P16" s="19">
        <v>1</v>
      </c>
      <c r="Q16" s="20">
        <f>O16*N16*P16</f>
        <v>1218750</v>
      </c>
      <c r="R16" s="19">
        <v>3750</v>
      </c>
      <c r="S16" s="18">
        <f>325*$C$53</f>
        <v>325</v>
      </c>
      <c r="T16" s="19">
        <v>1</v>
      </c>
      <c r="U16" s="20">
        <f>S16*R16*T16</f>
        <v>1218750</v>
      </c>
      <c r="V16" s="17">
        <v>3750</v>
      </c>
      <c r="W16" s="18">
        <f>325*$C$53</f>
        <v>325</v>
      </c>
      <c r="X16" s="19">
        <v>1</v>
      </c>
      <c r="Y16" s="20">
        <f>W16*V16*X16</f>
        <v>1218750</v>
      </c>
      <c r="AA16" s="1" t="e">
        <f>#REF!</f>
        <v>#REF!</v>
      </c>
    </row>
    <row r="17" spans="1:27" ht="12.75">
      <c r="A17" s="16" t="s">
        <v>28</v>
      </c>
      <c r="B17" s="17"/>
      <c r="C17" s="18"/>
      <c r="D17" s="19"/>
      <c r="E17" s="20"/>
      <c r="F17" s="17"/>
      <c r="G17" s="18"/>
      <c r="H17" s="19"/>
      <c r="I17" s="20"/>
      <c r="J17" s="17"/>
      <c r="K17" s="18"/>
      <c r="L17" s="19"/>
      <c r="M17" s="20"/>
      <c r="N17" s="19"/>
      <c r="O17" s="18"/>
      <c r="P17" s="19"/>
      <c r="Q17" s="20"/>
      <c r="R17" s="19"/>
      <c r="S17" s="18"/>
      <c r="T17" s="19"/>
      <c r="U17" s="20"/>
      <c r="V17" s="17"/>
      <c r="W17" s="18"/>
      <c r="X17" s="19"/>
      <c r="Y17" s="20"/>
      <c r="AA17" s="1" t="e">
        <f>#REF!</f>
        <v>#REF!</v>
      </c>
    </row>
    <row r="18" spans="1:27" ht="12.75">
      <c r="A18" s="16" t="s">
        <v>29</v>
      </c>
      <c r="B18" s="17">
        <v>1500</v>
      </c>
      <c r="C18" s="18">
        <f>325*$C$53</f>
        <v>325</v>
      </c>
      <c r="D18" s="19">
        <v>1</v>
      </c>
      <c r="E18" s="20">
        <f>C18*B18*D18</f>
        <v>487500</v>
      </c>
      <c r="F18" s="17">
        <v>1500</v>
      </c>
      <c r="G18" s="18">
        <f>325*$C$53</f>
        <v>325</v>
      </c>
      <c r="H18" s="19">
        <v>1</v>
      </c>
      <c r="I18" s="20">
        <f>G18*F18*H18</f>
        <v>487500</v>
      </c>
      <c r="J18" s="17">
        <v>1500</v>
      </c>
      <c r="K18" s="18">
        <f>325*$C$53</f>
        <v>325</v>
      </c>
      <c r="L18" s="19">
        <v>1</v>
      </c>
      <c r="M18" s="20">
        <f>K18*J18*L18</f>
        <v>487500</v>
      </c>
      <c r="N18" s="19">
        <v>1500</v>
      </c>
      <c r="O18" s="18">
        <f>325*$C$53</f>
        <v>325</v>
      </c>
      <c r="P18" s="19">
        <v>1</v>
      </c>
      <c r="Q18" s="20">
        <f>O18*N18*P18</f>
        <v>487500</v>
      </c>
      <c r="R18" s="19">
        <v>1500</v>
      </c>
      <c r="S18" s="18">
        <f>325*$C$53</f>
        <v>325</v>
      </c>
      <c r="T18" s="19">
        <v>1</v>
      </c>
      <c r="U18" s="20">
        <f>S18*R18*T18</f>
        <v>487500</v>
      </c>
      <c r="V18" s="17">
        <v>0</v>
      </c>
      <c r="W18" s="18"/>
      <c r="X18" s="19">
        <v>1</v>
      </c>
      <c r="Y18" s="20"/>
      <c r="AA18" s="1" t="e">
        <f>#REF!</f>
        <v>#REF!</v>
      </c>
    </row>
    <row r="19" spans="1:27" ht="12.75">
      <c r="A19" s="16" t="s">
        <v>30</v>
      </c>
      <c r="B19" s="17"/>
      <c r="C19" s="18"/>
      <c r="D19" s="19"/>
      <c r="E19" s="20"/>
      <c r="F19" s="17"/>
      <c r="G19" s="18"/>
      <c r="H19" s="19"/>
      <c r="I19" s="20"/>
      <c r="J19" s="17"/>
      <c r="K19" s="18"/>
      <c r="L19" s="19"/>
      <c r="M19" s="20"/>
      <c r="N19" s="19"/>
      <c r="O19" s="18"/>
      <c r="P19" s="19"/>
      <c r="Q19" s="20"/>
      <c r="R19" s="19"/>
      <c r="S19" s="18"/>
      <c r="T19" s="19"/>
      <c r="U19" s="20"/>
      <c r="V19" s="17"/>
      <c r="W19" s="18"/>
      <c r="X19" s="19"/>
      <c r="Y19" s="20"/>
      <c r="AA19" s="1" t="e">
        <f>#REF!</f>
        <v>#REF!</v>
      </c>
    </row>
    <row r="20" spans="1:27" ht="13.5" thickBot="1">
      <c r="A20" s="16" t="s">
        <v>31</v>
      </c>
      <c r="B20" s="21">
        <v>1</v>
      </c>
      <c r="C20" s="22">
        <f>300000*$C$60</f>
        <v>300000</v>
      </c>
      <c r="D20" s="23">
        <v>1</v>
      </c>
      <c r="E20" s="24">
        <f>C20*B20*D20</f>
        <v>300000</v>
      </c>
      <c r="F20" s="21">
        <v>1</v>
      </c>
      <c r="G20" s="22">
        <f>300000*$C$60</f>
        <v>300000</v>
      </c>
      <c r="H20" s="23">
        <v>1</v>
      </c>
      <c r="I20" s="24">
        <f>G20*F20*H20</f>
        <v>300000</v>
      </c>
      <c r="J20" s="21">
        <v>1</v>
      </c>
      <c r="K20" s="22">
        <f>300000*$C$60</f>
        <v>300000</v>
      </c>
      <c r="L20" s="23">
        <v>1</v>
      </c>
      <c r="M20" s="24">
        <f>K20*J20*L20</f>
        <v>300000</v>
      </c>
      <c r="N20" s="23">
        <v>1</v>
      </c>
      <c r="O20" s="22">
        <f>300000*$C$60</f>
        <v>300000</v>
      </c>
      <c r="P20" s="23">
        <v>1</v>
      </c>
      <c r="Q20" s="24">
        <f>O20*N20*P20</f>
        <v>300000</v>
      </c>
      <c r="R20" s="23">
        <v>1</v>
      </c>
      <c r="S20" s="22">
        <f>300000*$C$60</f>
        <v>300000</v>
      </c>
      <c r="T20" s="23">
        <v>1</v>
      </c>
      <c r="U20" s="24">
        <f>S20*R20*T20</f>
        <v>300000</v>
      </c>
      <c r="V20" s="21">
        <v>0</v>
      </c>
      <c r="W20" s="22">
        <f>300000*$C$60</f>
        <v>300000</v>
      </c>
      <c r="X20" s="23">
        <v>1</v>
      </c>
      <c r="Y20" s="24"/>
      <c r="AA20" s="1" t="e">
        <f>#REF!</f>
        <v>#REF!</v>
      </c>
    </row>
    <row r="21" ht="12.75">
      <c r="AA21" s="1" t="e">
        <f>#REF!</f>
        <v>#REF!</v>
      </c>
    </row>
    <row r="22" ht="13.5" thickBot="1">
      <c r="A22" s="7" t="s">
        <v>32</v>
      </c>
    </row>
    <row r="23" spans="1:25" ht="12.75">
      <c r="A23" s="16" t="s">
        <v>33</v>
      </c>
      <c r="B23" s="8">
        <v>5</v>
      </c>
      <c r="C23" s="25">
        <f>$C$55</f>
        <v>150000</v>
      </c>
      <c r="D23" s="26">
        <v>1</v>
      </c>
      <c r="E23" s="27">
        <f aca="true" t="shared" si="6" ref="E23:E28">C23*B23*D23</f>
        <v>750000</v>
      </c>
      <c r="F23" s="8"/>
      <c r="G23" s="8"/>
      <c r="H23" s="8"/>
      <c r="I23" s="28"/>
      <c r="J23" s="8"/>
      <c r="K23" s="8"/>
      <c r="L23" s="8"/>
      <c r="M23" s="28"/>
      <c r="N23" s="8"/>
      <c r="O23" s="8"/>
      <c r="P23" s="8"/>
      <c r="Q23" s="28"/>
      <c r="R23" s="8"/>
      <c r="S23" s="8"/>
      <c r="T23" s="8"/>
      <c r="U23" s="28"/>
      <c r="V23" s="8"/>
      <c r="W23" s="8"/>
      <c r="X23" s="8"/>
      <c r="Y23" s="28"/>
    </row>
    <row r="24" spans="1:25" ht="12.75">
      <c r="A24" s="16" t="s">
        <v>34</v>
      </c>
      <c r="B24" s="14">
        <v>5</v>
      </c>
      <c r="C24" s="18">
        <f>$C$55</f>
        <v>150000</v>
      </c>
      <c r="D24" s="29">
        <v>1</v>
      </c>
      <c r="E24" s="20">
        <f t="shared" si="6"/>
        <v>750000</v>
      </c>
      <c r="F24" s="14"/>
      <c r="G24" s="14"/>
      <c r="H24" s="14"/>
      <c r="I24" s="15"/>
      <c r="J24" s="14"/>
      <c r="K24" s="14"/>
      <c r="L24" s="14"/>
      <c r="M24" s="15"/>
      <c r="N24" s="14">
        <v>5</v>
      </c>
      <c r="O24" s="18">
        <f>$C$55</f>
        <v>150000</v>
      </c>
      <c r="P24" s="14">
        <v>1</v>
      </c>
      <c r="Q24" s="20">
        <f>O24*N24*P24</f>
        <v>750000</v>
      </c>
      <c r="R24" s="14"/>
      <c r="S24" s="14"/>
      <c r="T24" s="14"/>
      <c r="U24" s="15"/>
      <c r="V24" s="14"/>
      <c r="W24" s="14"/>
      <c r="X24" s="14"/>
      <c r="Y24" s="15"/>
    </row>
    <row r="25" spans="1:25" ht="12.75">
      <c r="A25" s="16" t="s">
        <v>35</v>
      </c>
      <c r="B25" s="14">
        <v>10</v>
      </c>
      <c r="C25" s="18">
        <f>$C$56</f>
        <v>50000</v>
      </c>
      <c r="D25" s="29">
        <v>1</v>
      </c>
      <c r="E25" s="20">
        <f t="shared" si="6"/>
        <v>500000</v>
      </c>
      <c r="F25" s="14"/>
      <c r="G25" s="14"/>
      <c r="H25" s="14"/>
      <c r="I25" s="15"/>
      <c r="J25" s="14"/>
      <c r="K25" s="14"/>
      <c r="L25" s="14"/>
      <c r="M25" s="15"/>
      <c r="N25" s="14"/>
      <c r="O25" s="14"/>
      <c r="P25" s="14"/>
      <c r="Q25" s="15"/>
      <c r="R25" s="14"/>
      <c r="S25" s="14"/>
      <c r="T25" s="14"/>
      <c r="U25" s="15"/>
      <c r="V25" s="14"/>
      <c r="W25" s="14"/>
      <c r="X25" s="14"/>
      <c r="Y25" s="15"/>
    </row>
    <row r="26" spans="1:25" ht="12.75">
      <c r="A26" s="16" t="s">
        <v>36</v>
      </c>
      <c r="B26" s="14">
        <v>5</v>
      </c>
      <c r="C26" s="18">
        <f>$C$57</f>
        <v>10000</v>
      </c>
      <c r="D26" s="29">
        <v>1</v>
      </c>
      <c r="E26" s="20">
        <f t="shared" si="6"/>
        <v>50000</v>
      </c>
      <c r="F26" s="14"/>
      <c r="G26" s="14"/>
      <c r="H26" s="14"/>
      <c r="I26" s="15"/>
      <c r="J26" s="14"/>
      <c r="K26" s="14"/>
      <c r="L26" s="14"/>
      <c r="M26" s="15"/>
      <c r="N26" s="14"/>
      <c r="O26" s="14"/>
      <c r="P26" s="14"/>
      <c r="Q26" s="15"/>
      <c r="R26" s="14"/>
      <c r="S26" s="14"/>
      <c r="T26" s="14"/>
      <c r="U26" s="15"/>
      <c r="V26" s="14">
        <v>5</v>
      </c>
      <c r="W26" s="18">
        <f>$C$57</f>
        <v>10000</v>
      </c>
      <c r="X26" s="14">
        <v>1</v>
      </c>
      <c r="Y26" s="20">
        <f>W26*V26*X26</f>
        <v>50000</v>
      </c>
    </row>
    <row r="27" spans="1:25" ht="12.75">
      <c r="A27" s="16" t="s">
        <v>37</v>
      </c>
      <c r="B27" s="14">
        <v>1</v>
      </c>
      <c r="C27" s="18">
        <f>$C$58</f>
        <v>150000</v>
      </c>
      <c r="D27" s="29">
        <v>1</v>
      </c>
      <c r="E27" s="20">
        <f t="shared" si="6"/>
        <v>150000</v>
      </c>
      <c r="F27" s="14"/>
      <c r="G27" s="14"/>
      <c r="H27" s="14"/>
      <c r="I27" s="15"/>
      <c r="J27" s="14"/>
      <c r="K27" s="14"/>
      <c r="L27" s="14"/>
      <c r="M27" s="15"/>
      <c r="N27" s="14"/>
      <c r="O27" s="14"/>
      <c r="P27" s="14"/>
      <c r="Q27" s="15"/>
      <c r="R27" s="14"/>
      <c r="S27" s="14"/>
      <c r="T27" s="14"/>
      <c r="U27" s="15"/>
      <c r="V27" s="14"/>
      <c r="W27" s="14"/>
      <c r="X27" s="14"/>
      <c r="Y27" s="15"/>
    </row>
    <row r="28" spans="1:25" ht="13.5" thickBot="1">
      <c r="A28" s="16" t="s">
        <v>38</v>
      </c>
      <c r="B28" s="30">
        <v>1</v>
      </c>
      <c r="C28" s="22">
        <f>$C$59</f>
        <v>1000000</v>
      </c>
      <c r="D28" s="31">
        <v>1</v>
      </c>
      <c r="E28" s="24">
        <f t="shared" si="6"/>
        <v>1000000</v>
      </c>
      <c r="F28" s="30"/>
      <c r="G28" s="30"/>
      <c r="H28" s="30"/>
      <c r="I28" s="32"/>
      <c r="J28" s="14"/>
      <c r="K28" s="14"/>
      <c r="L28" s="14"/>
      <c r="M28" s="15"/>
      <c r="N28" s="14"/>
      <c r="O28" s="14"/>
      <c r="P28" s="14"/>
      <c r="Q28" s="15"/>
      <c r="R28" s="14"/>
      <c r="S28" s="14"/>
      <c r="T28" s="14"/>
      <c r="U28" s="15"/>
      <c r="V28" s="14"/>
      <c r="W28" s="14"/>
      <c r="X28" s="14"/>
      <c r="Y28" s="15"/>
    </row>
    <row r="29" spans="1:4" ht="13.5" thickBot="1">
      <c r="A29" s="7" t="s">
        <v>39</v>
      </c>
      <c r="D29" s="33"/>
    </row>
    <row r="30" spans="1:25" ht="12.75">
      <c r="A30" s="16" t="s">
        <v>40</v>
      </c>
      <c r="B30" s="8">
        <v>1</v>
      </c>
      <c r="C30" s="25">
        <f>4000000*$C$54</f>
        <v>4000000</v>
      </c>
      <c r="D30" s="26">
        <v>1</v>
      </c>
      <c r="E30" s="27">
        <f>C30*B30*D30</f>
        <v>4000000</v>
      </c>
      <c r="F30" s="8">
        <v>1</v>
      </c>
      <c r="G30" s="25">
        <f>4000000*$C$54</f>
        <v>4000000</v>
      </c>
      <c r="H30" s="26">
        <v>1</v>
      </c>
      <c r="I30" s="27">
        <f>G30*F30*H30</f>
        <v>4000000</v>
      </c>
      <c r="J30" s="8">
        <v>1</v>
      </c>
      <c r="K30" s="25">
        <f>4000000*$C$54</f>
        <v>4000000</v>
      </c>
      <c r="L30" s="26">
        <v>1</v>
      </c>
      <c r="M30" s="27">
        <f>K30*J30*L30</f>
        <v>4000000</v>
      </c>
      <c r="N30" s="8">
        <v>1</v>
      </c>
      <c r="O30" s="25">
        <f>4000000*$C$54</f>
        <v>4000000</v>
      </c>
      <c r="P30" s="26">
        <v>1</v>
      </c>
      <c r="Q30" s="27">
        <f>O30*N30*P30</f>
        <v>4000000</v>
      </c>
      <c r="R30" s="8">
        <v>1</v>
      </c>
      <c r="S30" s="25">
        <f>4000000*$C$54</f>
        <v>4000000</v>
      </c>
      <c r="T30" s="26">
        <v>1</v>
      </c>
      <c r="U30" s="27">
        <f>S30*R30*T30</f>
        <v>4000000</v>
      </c>
      <c r="V30" s="8">
        <v>1</v>
      </c>
      <c r="W30" s="25">
        <f>4000000*$C$54</f>
        <v>4000000</v>
      </c>
      <c r="X30" s="26">
        <v>1</v>
      </c>
      <c r="Y30" s="27">
        <f>W30*V30*X30</f>
        <v>4000000</v>
      </c>
    </row>
    <row r="31" spans="2:25" ht="12.75">
      <c r="B31" s="14"/>
      <c r="C31" s="14"/>
      <c r="D31" s="14"/>
      <c r="E31" s="15"/>
      <c r="F31" s="14"/>
      <c r="G31" s="14"/>
      <c r="H31" s="14"/>
      <c r="I31" s="15"/>
      <c r="J31" s="14"/>
      <c r="K31" s="14"/>
      <c r="L31" s="14"/>
      <c r="M31" s="15"/>
      <c r="N31" s="14"/>
      <c r="O31" s="14"/>
      <c r="P31" s="14"/>
      <c r="Q31" s="15"/>
      <c r="R31" s="14"/>
      <c r="S31" s="14"/>
      <c r="T31" s="14"/>
      <c r="U31" s="15"/>
      <c r="V31" s="14"/>
      <c r="W31" s="14"/>
      <c r="X31" s="14"/>
      <c r="Y31" s="15"/>
    </row>
    <row r="32" spans="1:25" ht="12.75">
      <c r="A32" s="7" t="s">
        <v>41</v>
      </c>
      <c r="B32" s="14"/>
      <c r="C32" s="14"/>
      <c r="D32" s="14"/>
      <c r="E32" s="20">
        <f>SUM(E6:E12,E14,E16,E18,E20,E23:E28,E30)</f>
        <v>23952500</v>
      </c>
      <c r="F32" s="14"/>
      <c r="G32" s="14"/>
      <c r="H32" s="14"/>
      <c r="I32" s="20">
        <f>SUM(I6:I12,I14,I16,I18,I20,I23:I28,I30)</f>
        <v>18652500</v>
      </c>
      <c r="J32" s="14"/>
      <c r="K32" s="14"/>
      <c r="L32" s="14"/>
      <c r="M32" s="20">
        <f>SUM(M6:M12,M14,M16,M18,M20,M23:M28,M30)</f>
        <v>18652500</v>
      </c>
      <c r="N32" s="14"/>
      <c r="O32" s="14"/>
      <c r="P32" s="14"/>
      <c r="Q32" s="20">
        <f>SUM(Q6:Q12,Q14,Q16,Q18,Q20,Q23:Q28,Q30)</f>
        <v>14796250</v>
      </c>
      <c r="R32" s="14"/>
      <c r="S32" s="14"/>
      <c r="T32" s="14"/>
      <c r="U32" s="20">
        <f>SUM(U6:U12,U14,U16,U18,U20,U23:U28,U30)</f>
        <v>14046250</v>
      </c>
      <c r="V32" s="14"/>
      <c r="W32" s="14"/>
      <c r="X32" s="14"/>
      <c r="Y32" s="20">
        <f>SUM(Y6:Y12,Y14,Y16,Y18,Y20,Y23:Y28,Y30)</f>
        <v>13308750</v>
      </c>
    </row>
    <row r="33" spans="1:25" ht="12.75">
      <c r="A33" s="7" t="s">
        <v>42</v>
      </c>
      <c r="B33" s="14"/>
      <c r="C33" s="14"/>
      <c r="D33" s="14"/>
      <c r="E33" s="20">
        <f>7500000*$C$61</f>
        <v>7500000</v>
      </c>
      <c r="F33" s="14"/>
      <c r="G33" s="14"/>
      <c r="H33" s="14"/>
      <c r="I33" s="20">
        <f>21000000*$C$61</f>
        <v>21000000</v>
      </c>
      <c r="J33" s="14"/>
      <c r="K33" s="14"/>
      <c r="L33" s="14"/>
      <c r="M33" s="20">
        <f>21000000*$C$61</f>
        <v>21000000</v>
      </c>
      <c r="N33" s="14"/>
      <c r="O33" s="14"/>
      <c r="P33" s="14"/>
      <c r="Q33" s="20">
        <f>21000000*$C$61</f>
        <v>21000000</v>
      </c>
      <c r="R33" s="14"/>
      <c r="S33" s="14"/>
      <c r="T33" s="14"/>
      <c r="U33" s="20">
        <f>21000000*$C$61</f>
        <v>21000000</v>
      </c>
      <c r="V33" s="14"/>
      <c r="W33" s="14"/>
      <c r="X33" s="14"/>
      <c r="Y33" s="20">
        <f>21000000*$C$61</f>
        <v>21000000</v>
      </c>
    </row>
    <row r="34" spans="1:25" ht="13.5" thickBot="1">
      <c r="A34" s="71" t="s">
        <v>43</v>
      </c>
      <c r="B34" s="30"/>
      <c r="C34" s="30"/>
      <c r="D34" s="30"/>
      <c r="E34" s="72">
        <f>E33-E32</f>
        <v>-16452500</v>
      </c>
      <c r="F34" s="30"/>
      <c r="G34" s="30"/>
      <c r="H34" s="30"/>
      <c r="I34" s="72">
        <f>I33-I32</f>
        <v>2347500</v>
      </c>
      <c r="J34" s="30"/>
      <c r="K34" s="30"/>
      <c r="L34" s="30"/>
      <c r="M34" s="72">
        <f>M33-M32</f>
        <v>2347500</v>
      </c>
      <c r="N34" s="30"/>
      <c r="O34" s="30"/>
      <c r="P34" s="30"/>
      <c r="Q34" s="72">
        <f>Q33-Q32</f>
        <v>6203750</v>
      </c>
      <c r="R34" s="30"/>
      <c r="S34" s="30"/>
      <c r="T34" s="30"/>
      <c r="U34" s="72">
        <f>U33-U32</f>
        <v>6953750</v>
      </c>
      <c r="V34" s="30"/>
      <c r="W34" s="30"/>
      <c r="X34" s="30"/>
      <c r="Y34" s="72">
        <f>Y33-Y32</f>
        <v>7691250</v>
      </c>
    </row>
    <row r="35" spans="1:15" ht="13.5" thickBot="1">
      <c r="A35" s="7"/>
      <c r="E35" s="34"/>
      <c r="G35" s="34"/>
      <c r="I35" s="34"/>
      <c r="K35" s="34"/>
      <c r="M35" s="34"/>
      <c r="O35" s="34"/>
    </row>
    <row r="36" spans="1:9" ht="13.5" thickBot="1">
      <c r="A36" s="35" t="s">
        <v>44</v>
      </c>
      <c r="F36" s="70"/>
      <c r="I36" s="1"/>
    </row>
    <row r="37" spans="2:25" ht="13.5" thickBot="1">
      <c r="B37" s="36" t="s">
        <v>45</v>
      </c>
      <c r="C37" s="37">
        <f>$C$51</f>
        <v>0.1</v>
      </c>
      <c r="D37" s="6">
        <v>0</v>
      </c>
      <c r="E37" s="106">
        <v>1</v>
      </c>
      <c r="F37" s="106"/>
      <c r="G37" s="6">
        <v>2</v>
      </c>
      <c r="H37" s="6">
        <v>3</v>
      </c>
      <c r="I37" s="6">
        <v>4</v>
      </c>
      <c r="J37" s="6">
        <v>5</v>
      </c>
      <c r="L37" s="7"/>
      <c r="M37" s="1"/>
      <c r="P37" s="7"/>
      <c r="Q37" s="1"/>
      <c r="T37" s="7"/>
      <c r="U37" s="1"/>
      <c r="Y37" s="1"/>
    </row>
    <row r="38" spans="3:20" s="13" customFormat="1" ht="16.5" customHeight="1" thickBot="1">
      <c r="C38" s="36" t="s">
        <v>46</v>
      </c>
      <c r="D38" s="68">
        <f>1/(1+$C$37)^0</f>
        <v>1</v>
      </c>
      <c r="E38" s="132">
        <f>1/(1+$C$37)^1</f>
        <v>0.9090909090909091</v>
      </c>
      <c r="F38" s="105"/>
      <c r="G38" s="68">
        <f>1/(1+$C$37)^2</f>
        <v>0.8264462809917354</v>
      </c>
      <c r="H38" s="68">
        <f>1/(1+$C$37)^3</f>
        <v>0.7513148009015775</v>
      </c>
      <c r="I38" s="68">
        <f>1/(1+$C$37)^4</f>
        <v>0.6830134553650705</v>
      </c>
      <c r="J38" s="130">
        <f>1/(1+$C$37)^5</f>
        <v>0.6209213230591549</v>
      </c>
      <c r="K38" s="131"/>
      <c r="L38" s="6"/>
      <c r="P38" s="6"/>
      <c r="T38" s="6"/>
    </row>
    <row r="39" spans="3:20" s="13" customFormat="1" ht="16.5" customHeight="1" thickBot="1">
      <c r="C39" s="36" t="s">
        <v>82</v>
      </c>
      <c r="D39" s="75">
        <f>E32</f>
        <v>23952500</v>
      </c>
      <c r="E39" s="127">
        <f>I32</f>
        <v>18652500</v>
      </c>
      <c r="F39" s="126"/>
      <c r="G39" s="75">
        <f>M32</f>
        <v>18652500</v>
      </c>
      <c r="H39" s="75">
        <f>Q32</f>
        <v>14796250</v>
      </c>
      <c r="I39" s="75">
        <f>U32</f>
        <v>14046250</v>
      </c>
      <c r="J39" s="127">
        <f>Y32</f>
        <v>13308750</v>
      </c>
      <c r="K39" s="126"/>
      <c r="L39" s="6"/>
      <c r="P39" s="6"/>
      <c r="T39" s="6"/>
    </row>
    <row r="40" spans="3:20" s="13" customFormat="1" ht="16.5" customHeight="1" thickBot="1">
      <c r="C40" s="36" t="s">
        <v>83</v>
      </c>
      <c r="D40" s="75">
        <f>E33</f>
        <v>7500000</v>
      </c>
      <c r="E40" s="127">
        <f>I33</f>
        <v>21000000</v>
      </c>
      <c r="F40" s="126"/>
      <c r="G40" s="75">
        <f>M33</f>
        <v>21000000</v>
      </c>
      <c r="H40" s="75">
        <f>Q33</f>
        <v>21000000</v>
      </c>
      <c r="I40" s="75">
        <f>U33</f>
        <v>21000000</v>
      </c>
      <c r="J40" s="127">
        <f>Y33</f>
        <v>21000000</v>
      </c>
      <c r="K40" s="126"/>
      <c r="L40" s="6"/>
      <c r="P40" s="6"/>
      <c r="T40" s="6"/>
    </row>
    <row r="41" spans="3:20" s="13" customFormat="1" ht="16.5" customHeight="1" thickBot="1">
      <c r="C41" s="36" t="s">
        <v>81</v>
      </c>
      <c r="D41" s="73">
        <f>D40-D39</f>
        <v>-16452500</v>
      </c>
      <c r="E41" s="125">
        <f aca="true" t="shared" si="7" ref="E41:J41">E40-E39</f>
        <v>2347500</v>
      </c>
      <c r="F41" s="126"/>
      <c r="G41" s="74">
        <f t="shared" si="7"/>
        <v>2347500</v>
      </c>
      <c r="H41" s="74">
        <f t="shared" si="7"/>
        <v>6203750</v>
      </c>
      <c r="I41" s="74">
        <f t="shared" si="7"/>
        <v>6953750</v>
      </c>
      <c r="J41" s="125">
        <f t="shared" si="7"/>
        <v>7691250</v>
      </c>
      <c r="K41" s="126"/>
      <c r="L41" s="6"/>
      <c r="P41" s="6"/>
      <c r="T41" s="6"/>
    </row>
    <row r="42" spans="3:25" ht="16.5" customHeight="1" thickBot="1">
      <c r="C42" s="16" t="s">
        <v>54</v>
      </c>
      <c r="D42" s="40">
        <f>D38*D39</f>
        <v>23952500</v>
      </c>
      <c r="E42" s="107">
        <f>E38*E39</f>
        <v>16956818.18181818</v>
      </c>
      <c r="F42" s="108"/>
      <c r="G42" s="75">
        <f>G38*G39</f>
        <v>15415289.256198345</v>
      </c>
      <c r="H42" s="75">
        <f>H38*H39</f>
        <v>11116641.622839967</v>
      </c>
      <c r="I42" s="75">
        <f>I38*I39</f>
        <v>9593777.747421622</v>
      </c>
      <c r="J42" s="127">
        <f>J38*J39</f>
        <v>8263686.658263528</v>
      </c>
      <c r="K42" s="126"/>
      <c r="L42" s="7"/>
      <c r="M42" s="1"/>
      <c r="P42" s="7"/>
      <c r="Q42" s="1"/>
      <c r="T42" s="7"/>
      <c r="U42" s="1"/>
      <c r="Y42" s="1"/>
    </row>
    <row r="43" spans="2:25" ht="16.5" customHeight="1" thickBot="1">
      <c r="B43" s="16" t="s">
        <v>55</v>
      </c>
      <c r="C43" s="40">
        <f>SUM(D42,E42,G42,H42,I42,J42)</f>
        <v>85298713.46654165</v>
      </c>
      <c r="D43" s="66"/>
      <c r="E43" s="128"/>
      <c r="F43" s="129"/>
      <c r="G43" s="65"/>
      <c r="H43" s="65"/>
      <c r="I43" s="65"/>
      <c r="J43" s="128"/>
      <c r="K43" s="129"/>
      <c r="L43" s="64"/>
      <c r="M43" s="58"/>
      <c r="P43" s="7"/>
      <c r="Q43" s="1"/>
      <c r="T43" s="7"/>
      <c r="U43" s="1"/>
      <c r="Y43" s="1"/>
    </row>
    <row r="44" spans="3:25" ht="16.5" customHeight="1" thickBot="1">
      <c r="C44" s="16" t="s">
        <v>56</v>
      </c>
      <c r="D44" s="24">
        <f>D38*D40</f>
        <v>7500000</v>
      </c>
      <c r="E44" s="123">
        <f aca="true" t="shared" si="8" ref="E44:J44">E38*E40</f>
        <v>19090909.09090909</v>
      </c>
      <c r="F44" s="124"/>
      <c r="G44" s="24">
        <f t="shared" si="8"/>
        <v>17355371.900826443</v>
      </c>
      <c r="H44" s="24">
        <f t="shared" si="8"/>
        <v>15777610.818933127</v>
      </c>
      <c r="I44" s="24">
        <f t="shared" si="8"/>
        <v>14343282.562666481</v>
      </c>
      <c r="J44" s="123">
        <f t="shared" si="8"/>
        <v>13039347.784242254</v>
      </c>
      <c r="K44" s="124"/>
      <c r="L44" s="7"/>
      <c r="M44" s="1"/>
      <c r="P44" s="7"/>
      <c r="Q44" s="1"/>
      <c r="T44" s="7"/>
      <c r="U44" s="1"/>
      <c r="Y44" s="1"/>
    </row>
    <row r="45" spans="2:25" ht="19.5" customHeight="1" thickBot="1">
      <c r="B45" s="16" t="s">
        <v>57</v>
      </c>
      <c r="C45" s="40">
        <f>SUM(D44,E44,G44,H44,I44,J44)</f>
        <v>87106522.1575774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7"/>
      <c r="Q45" s="1"/>
      <c r="T45" s="7"/>
      <c r="U45" s="1"/>
      <c r="X45" s="7"/>
      <c r="Y45" s="1"/>
    </row>
    <row r="46" spans="1:15" ht="13.5" thickBot="1">
      <c r="A46" s="36" t="s">
        <v>58</v>
      </c>
      <c r="B46" s="41"/>
      <c r="C46" s="42">
        <f>C45-C43</f>
        <v>1807808.6910357475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13.5" thickBot="1">
      <c r="A47" s="36" t="s">
        <v>50</v>
      </c>
      <c r="B47" s="41"/>
      <c r="C47" s="43">
        <f>C45/C43</f>
        <v>1.021193856478795</v>
      </c>
      <c r="D47" s="33"/>
      <c r="E47" s="39"/>
      <c r="F47" s="33"/>
      <c r="G47" s="33"/>
      <c r="H47" s="33"/>
      <c r="I47" s="39"/>
      <c r="J47" s="33"/>
      <c r="K47" s="33"/>
      <c r="L47" s="33"/>
      <c r="M47" s="39"/>
      <c r="N47" s="33"/>
      <c r="O47" s="33"/>
    </row>
    <row r="48" spans="1:3" ht="13.5" thickBot="1">
      <c r="A48" s="36" t="s">
        <v>51</v>
      </c>
      <c r="B48" s="41"/>
      <c r="C48" s="44">
        <f>IRR(D41:K41)</f>
        <v>0.1340746337474012</v>
      </c>
    </row>
    <row r="49" spans="1:3" ht="13.5" thickBot="1">
      <c r="A49" s="36"/>
      <c r="B49" s="59"/>
      <c r="C49" s="76"/>
    </row>
    <row r="50" spans="1:8" ht="13.5" thickBot="1">
      <c r="A50" s="77" t="s">
        <v>59</v>
      </c>
      <c r="F50" s="1">
        <v>0</v>
      </c>
      <c r="G50" s="45">
        <f>D42</f>
        <v>23952500</v>
      </c>
      <c r="H50" s="45">
        <f>D44</f>
        <v>7500000</v>
      </c>
    </row>
    <row r="51" spans="1:8" ht="13.5" thickBot="1">
      <c r="A51" s="36" t="s">
        <v>84</v>
      </c>
      <c r="B51" s="48"/>
      <c r="C51" s="46">
        <v>0.1</v>
      </c>
      <c r="F51" s="1">
        <v>1</v>
      </c>
      <c r="G51" s="45">
        <f>E42</f>
        <v>16956818.18181818</v>
      </c>
      <c r="H51" s="45">
        <f>E44</f>
        <v>19090909.09090909</v>
      </c>
    </row>
    <row r="52" spans="1:8" ht="13.5" thickBot="1">
      <c r="A52" s="36" t="s">
        <v>60</v>
      </c>
      <c r="B52" s="48"/>
      <c r="C52" s="47">
        <v>1</v>
      </c>
      <c r="F52" s="1">
        <v>2</v>
      </c>
      <c r="G52" s="45">
        <f>G42</f>
        <v>15415289.256198345</v>
      </c>
      <c r="H52" s="45">
        <f>G44</f>
        <v>17355371.900826443</v>
      </c>
    </row>
    <row r="53" spans="1:8" ht="13.5" thickBot="1">
      <c r="A53" s="36" t="s">
        <v>61</v>
      </c>
      <c r="B53" s="48"/>
      <c r="C53" s="47">
        <v>1</v>
      </c>
      <c r="F53" s="1">
        <v>3</v>
      </c>
      <c r="G53" s="45">
        <f>H42</f>
        <v>11116641.622839967</v>
      </c>
      <c r="H53" s="45">
        <f>H44</f>
        <v>15777610.818933127</v>
      </c>
    </row>
    <row r="54" spans="1:8" ht="13.5" thickBot="1">
      <c r="A54" s="36" t="s">
        <v>62</v>
      </c>
      <c r="B54" s="48"/>
      <c r="C54" s="47">
        <v>1</v>
      </c>
      <c r="F54" s="1">
        <v>4</v>
      </c>
      <c r="G54" s="45">
        <f>I42</f>
        <v>9593777.747421622</v>
      </c>
      <c r="H54" s="45">
        <f>I44</f>
        <v>14343282.562666481</v>
      </c>
    </row>
    <row r="55" spans="1:8" ht="13.5" thickBot="1">
      <c r="A55" s="36" t="s">
        <v>63</v>
      </c>
      <c r="B55" s="48"/>
      <c r="C55" s="49">
        <f>150000*C62</f>
        <v>150000</v>
      </c>
      <c r="F55" s="1">
        <v>5</v>
      </c>
      <c r="G55" s="45">
        <f>J42</f>
        <v>8263686.658263528</v>
      </c>
      <c r="H55" s="45">
        <f>J44</f>
        <v>13039347.784242254</v>
      </c>
    </row>
    <row r="56" spans="1:3" ht="13.5" thickBot="1">
      <c r="A56" s="36" t="s">
        <v>64</v>
      </c>
      <c r="B56" s="48"/>
      <c r="C56" s="49">
        <f>50000*C62</f>
        <v>50000</v>
      </c>
    </row>
    <row r="57" spans="1:3" ht="13.5" thickBot="1">
      <c r="A57" s="36" t="s">
        <v>65</v>
      </c>
      <c r="B57" s="48"/>
      <c r="C57" s="49">
        <f>10000*C62</f>
        <v>10000</v>
      </c>
    </row>
    <row r="58" spans="1:3" ht="13.5" thickBot="1">
      <c r="A58" s="36" t="s">
        <v>66</v>
      </c>
      <c r="B58" s="48"/>
      <c r="C58" s="40">
        <v>150000</v>
      </c>
    </row>
    <row r="59" spans="1:3" ht="13.5" thickBot="1">
      <c r="A59" s="36" t="s">
        <v>115</v>
      </c>
      <c r="B59" s="48"/>
      <c r="C59" s="49">
        <f>1000000*C62</f>
        <v>1000000</v>
      </c>
    </row>
    <row r="60" spans="1:3" ht="13.5" thickBot="1">
      <c r="A60" s="36" t="s">
        <v>116</v>
      </c>
      <c r="B60" s="48"/>
      <c r="C60" s="50">
        <v>1</v>
      </c>
    </row>
    <row r="61" spans="1:31" s="7" customFormat="1" ht="13.5" thickBot="1">
      <c r="A61" s="36" t="s">
        <v>117</v>
      </c>
      <c r="B61" s="48"/>
      <c r="C61" s="50">
        <v>1</v>
      </c>
      <c r="D61" s="1"/>
      <c r="F61" s="1"/>
      <c r="G61" s="1"/>
      <c r="H61" s="1"/>
      <c r="J61" s="1"/>
      <c r="K61" s="1"/>
      <c r="L61" s="1"/>
      <c r="N61" s="1"/>
      <c r="O61" s="1"/>
      <c r="P61" s="1"/>
      <c r="R61" s="1"/>
      <c r="S61" s="1"/>
      <c r="T61" s="1"/>
      <c r="V61" s="1"/>
      <c r="W61" s="1"/>
      <c r="X61" s="1"/>
      <c r="Z61" s="1"/>
      <c r="AA61" s="1"/>
      <c r="AB61" s="1"/>
      <c r="AC61" s="1"/>
      <c r="AD61" s="1"/>
      <c r="AE61" s="1"/>
    </row>
    <row r="62" spans="1:3" ht="13.5" thickBot="1">
      <c r="A62" s="36" t="s">
        <v>118</v>
      </c>
      <c r="B62" s="51"/>
      <c r="C62" s="52">
        <v>1</v>
      </c>
    </row>
    <row r="63" ht="12.75">
      <c r="A63" s="1" t="s">
        <v>120</v>
      </c>
    </row>
    <row r="64" spans="1:7" ht="12.75">
      <c r="A64" s="1" t="s">
        <v>47</v>
      </c>
      <c r="F64" s="33">
        <v>0.05</v>
      </c>
      <c r="G64" s="53">
        <v>5018661.450218782</v>
      </c>
    </row>
    <row r="65" spans="1:7" ht="12.75">
      <c r="A65" s="1" t="s">
        <v>27</v>
      </c>
      <c r="F65" s="33">
        <v>0.1</v>
      </c>
      <c r="G65" s="53">
        <v>1807808.6910357475</v>
      </c>
    </row>
    <row r="66" spans="1:7" ht="12.75">
      <c r="A66" s="1" t="s">
        <v>70</v>
      </c>
      <c r="F66" s="33">
        <v>0.15</v>
      </c>
      <c r="G66" s="53">
        <v>-757342.3693392277</v>
      </c>
    </row>
    <row r="67" spans="1:7" ht="12.75">
      <c r="A67" s="1" t="s">
        <v>71</v>
      </c>
      <c r="F67" s="33">
        <v>0.2</v>
      </c>
      <c r="G67" s="53">
        <v>-2831500.2893518656</v>
      </c>
    </row>
    <row r="68" ht="12.75">
      <c r="A68" s="1" t="s">
        <v>72</v>
      </c>
    </row>
    <row r="69" ht="12.75">
      <c r="A69" s="1" t="s">
        <v>73</v>
      </c>
    </row>
    <row r="70" ht="12.75">
      <c r="A70" s="1" t="s">
        <v>74</v>
      </c>
    </row>
    <row r="71" ht="13.5" thickBot="1">
      <c r="A71" s="1" t="s">
        <v>75</v>
      </c>
    </row>
    <row r="72" spans="1:3" ht="13.5" thickBot="1">
      <c r="A72" s="36" t="s">
        <v>76</v>
      </c>
      <c r="B72" s="69" t="s">
        <v>78</v>
      </c>
      <c r="C72" s="69" t="s">
        <v>77</v>
      </c>
    </row>
    <row r="73" spans="1:3" ht="13.5" thickBot="1">
      <c r="A73" s="54">
        <v>0.05</v>
      </c>
      <c r="B73" s="67">
        <v>0.3</v>
      </c>
      <c r="C73" s="55">
        <v>5018661.450218782</v>
      </c>
    </row>
    <row r="74" spans="1:3" ht="13.5" thickBot="1">
      <c r="A74" s="54">
        <v>0.1</v>
      </c>
      <c r="B74" s="67">
        <v>0.3</v>
      </c>
      <c r="C74" s="55">
        <v>1807808.6910357475</v>
      </c>
    </row>
    <row r="75" spans="1:3" ht="13.5" thickBot="1">
      <c r="A75" s="54">
        <v>0.15</v>
      </c>
      <c r="B75" s="67">
        <v>0.25</v>
      </c>
      <c r="C75" s="55">
        <v>-757342.3693392277</v>
      </c>
    </row>
    <row r="76" spans="1:3" ht="13.5" thickBot="1">
      <c r="A76" s="54">
        <v>0.2</v>
      </c>
      <c r="B76" s="67">
        <v>0.15</v>
      </c>
      <c r="C76" s="55">
        <v>-2831500.2893518656</v>
      </c>
    </row>
    <row r="77" spans="1:3" ht="13.5" thickBot="1">
      <c r="A77" s="56" t="s">
        <v>79</v>
      </c>
      <c r="B77" s="57"/>
      <c r="C77" s="40">
        <f>C73*B73+C74*B74+C75*B75+C76*B76</f>
        <v>1433880.406638772</v>
      </c>
    </row>
    <row r="78" spans="1:3" ht="13.5" thickBot="1">
      <c r="A78" s="56" t="s">
        <v>80</v>
      </c>
      <c r="C78" s="46">
        <f>A73*B73+A74*B74+A75*B75+A76*B76</f>
        <v>0.11249999999999999</v>
      </c>
    </row>
    <row r="79" spans="1:2" ht="12.75">
      <c r="A79" s="16" t="s">
        <v>119</v>
      </c>
      <c r="B79" s="38">
        <f>SUM(B73:B76)</f>
        <v>1</v>
      </c>
    </row>
    <row r="80" ht="12.75">
      <c r="B80" s="16"/>
    </row>
  </sheetData>
  <mergeCells count="15">
    <mergeCell ref="E37:F37"/>
    <mergeCell ref="E42:F42"/>
    <mergeCell ref="E43:F43"/>
    <mergeCell ref="E41:F41"/>
    <mergeCell ref="E39:F39"/>
    <mergeCell ref="E40:F40"/>
    <mergeCell ref="J38:K38"/>
    <mergeCell ref="J42:K42"/>
    <mergeCell ref="E44:F44"/>
    <mergeCell ref="E38:F38"/>
    <mergeCell ref="J44:K44"/>
    <mergeCell ref="J41:K41"/>
    <mergeCell ref="J39:K39"/>
    <mergeCell ref="J40:K40"/>
    <mergeCell ref="J43:K4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9"/>
  <sheetViews>
    <sheetView zoomScale="125" zoomScaleNormal="125" workbookViewId="0" topLeftCell="A1">
      <selection activeCell="H28" sqref="H28"/>
    </sheetView>
  </sheetViews>
  <sheetFormatPr defaultColWidth="11.5546875" defaultRowHeight="15" customHeight="1"/>
  <cols>
    <col min="1" max="1" width="2.4453125" style="0" customWidth="1"/>
    <col min="2" max="2" width="28.5546875" style="0" customWidth="1"/>
    <col min="3" max="3" width="14.5546875" style="0" customWidth="1"/>
    <col min="4" max="8" width="13.99609375" style="0" customWidth="1"/>
    <col min="9" max="9" width="0.671875" style="0" customWidth="1"/>
    <col min="10" max="10" width="0.55078125" style="0" customWidth="1"/>
    <col min="11" max="11" width="6.99609375" style="0" customWidth="1"/>
    <col min="12" max="12" width="7.88671875" style="0" customWidth="1"/>
  </cols>
  <sheetData>
    <row r="1" spans="3:7" s="1" customFormat="1" ht="18" customHeight="1" thickBot="1">
      <c r="C1" s="78"/>
      <c r="D1" s="79"/>
      <c r="E1" s="80" t="s">
        <v>8</v>
      </c>
      <c r="F1" s="79"/>
      <c r="G1" s="81"/>
    </row>
    <row r="2" spans="2:8" s="1" customFormat="1" ht="15" customHeight="1" thickBot="1">
      <c r="B2" s="82" t="s">
        <v>121</v>
      </c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</row>
    <row r="3" spans="2:8" s="1" customFormat="1" ht="15" customHeight="1" thickBot="1">
      <c r="B3" s="16" t="s">
        <v>122</v>
      </c>
      <c r="C3" s="55">
        <v>3200000</v>
      </c>
      <c r="D3" s="133"/>
      <c r="E3" s="133"/>
      <c r="F3" s="55">
        <v>750000</v>
      </c>
      <c r="G3" s="133"/>
      <c r="H3" s="55">
        <v>50000</v>
      </c>
    </row>
    <row r="4" spans="2:8" s="1" customFormat="1" ht="15" customHeight="1" thickBot="1">
      <c r="B4" s="16" t="s">
        <v>123</v>
      </c>
      <c r="C4" s="55">
        <v>16752500</v>
      </c>
      <c r="D4" s="55">
        <v>14652500</v>
      </c>
      <c r="E4" s="55">
        <v>14652500</v>
      </c>
      <c r="F4" s="55">
        <v>10046250</v>
      </c>
      <c r="G4" s="55">
        <v>10046250</v>
      </c>
      <c r="H4" s="55">
        <v>9258750</v>
      </c>
    </row>
    <row r="5" spans="2:8" s="1" customFormat="1" ht="15" customHeight="1" thickBot="1">
      <c r="B5" s="16" t="s">
        <v>124</v>
      </c>
      <c r="C5" s="55">
        <v>4000000</v>
      </c>
      <c r="D5" s="55">
        <v>4000000</v>
      </c>
      <c r="E5" s="55">
        <v>4000000</v>
      </c>
      <c r="F5" s="55">
        <v>4000000</v>
      </c>
      <c r="G5" s="55">
        <v>4000000</v>
      </c>
      <c r="H5" s="55">
        <v>4000000</v>
      </c>
    </row>
    <row r="6" spans="2:8" s="1" customFormat="1" ht="15" customHeight="1" thickBot="1">
      <c r="B6" s="16" t="s">
        <v>9</v>
      </c>
      <c r="C6" s="55"/>
      <c r="D6" s="134">
        <f>IF(D2&lt;$C$24+1,$C$26,0)</f>
        <v>179971.7468403645</v>
      </c>
      <c r="E6" s="134">
        <f>IF(E2&lt;$C$24+1,$C$26,0)</f>
        <v>179971.7468403645</v>
      </c>
      <c r="F6" s="134">
        <f>IF(F2&lt;$C$24+1,$C$26,0)</f>
        <v>179971.7468403645</v>
      </c>
      <c r="G6" s="134">
        <f>IF(G2&lt;$C$24+1,$C$26,0)</f>
        <v>179971.7468403645</v>
      </c>
      <c r="H6" s="134">
        <f>IF(H2&lt;$C$24+1,$C$26,0)</f>
        <v>179971.7468403645</v>
      </c>
    </row>
    <row r="7" spans="2:8" s="1" customFormat="1" ht="15" customHeight="1" thickBot="1">
      <c r="B7" s="82" t="s">
        <v>82</v>
      </c>
      <c r="C7" s="55">
        <f>SUM(C3:C5)</f>
        <v>23952500</v>
      </c>
      <c r="D7" s="55">
        <f>SUM(D3:D6)</f>
        <v>18832471.746840365</v>
      </c>
      <c r="E7" s="55">
        <f>SUM(E3:E6)</f>
        <v>18832471.746840365</v>
      </c>
      <c r="F7" s="55">
        <f>SUM(F3:F6)</f>
        <v>14976221.746840365</v>
      </c>
      <c r="G7" s="55">
        <f>SUM(G3:G6)</f>
        <v>14226221.746840365</v>
      </c>
      <c r="H7" s="55">
        <f>SUM(H3:H6)</f>
        <v>13488721.746840365</v>
      </c>
    </row>
    <row r="8" spans="2:8" s="1" customFormat="1" ht="15" customHeight="1" thickBot="1">
      <c r="B8" s="82" t="s">
        <v>125</v>
      </c>
      <c r="C8" s="55">
        <v>7500000</v>
      </c>
      <c r="D8" s="55">
        <v>21000000</v>
      </c>
      <c r="E8" s="55">
        <v>21000000</v>
      </c>
      <c r="F8" s="55">
        <v>21000000</v>
      </c>
      <c r="G8" s="55">
        <v>21000000</v>
      </c>
      <c r="H8" s="55">
        <v>21000000</v>
      </c>
    </row>
    <row r="9" spans="2:8" s="1" customFormat="1" ht="15" customHeight="1" thickBot="1">
      <c r="B9" s="82" t="s">
        <v>126</v>
      </c>
      <c r="C9" s="94">
        <f aca="true" t="shared" si="0" ref="C9:H9">(C8-C7)</f>
        <v>-16452500</v>
      </c>
      <c r="D9" s="40">
        <f t="shared" si="0"/>
        <v>2167528.253159635</v>
      </c>
      <c r="E9" s="40">
        <f t="shared" si="0"/>
        <v>2167528.253159635</v>
      </c>
      <c r="F9" s="40">
        <f t="shared" si="0"/>
        <v>6023778.253159635</v>
      </c>
      <c r="G9" s="40">
        <f t="shared" si="0"/>
        <v>6773778.253159635</v>
      </c>
      <c r="H9" s="40">
        <f t="shared" si="0"/>
        <v>7511278.253159635</v>
      </c>
    </row>
    <row r="10" spans="2:3" s="1" customFormat="1" ht="15" customHeight="1" thickBot="1">
      <c r="B10" s="36" t="s">
        <v>127</v>
      </c>
      <c r="C10" s="135">
        <v>0.1</v>
      </c>
    </row>
    <row r="11" spans="2:8" s="136" customFormat="1" ht="15" customHeight="1" thickBot="1">
      <c r="B11" s="137" t="s">
        <v>128</v>
      </c>
      <c r="C11" s="138">
        <f aca="true" t="shared" si="1" ref="C11:H11">1/(1+($C$10))^C2</f>
        <v>1</v>
      </c>
      <c r="D11" s="138">
        <f t="shared" si="1"/>
        <v>0.9090909090909091</v>
      </c>
      <c r="E11" s="138">
        <f t="shared" si="1"/>
        <v>0.8264462809917354</v>
      </c>
      <c r="F11" s="138">
        <f t="shared" si="1"/>
        <v>0.7513148009015775</v>
      </c>
      <c r="G11" s="138">
        <f t="shared" si="1"/>
        <v>0.6830134553650705</v>
      </c>
      <c r="H11" s="138">
        <f t="shared" si="1"/>
        <v>0.6209213230591549</v>
      </c>
    </row>
    <row r="12" s="1" customFormat="1" ht="15" customHeight="1" thickBot="1">
      <c r="B12" s="6" t="s">
        <v>10</v>
      </c>
    </row>
    <row r="13" spans="2:8" s="1" customFormat="1" ht="15" customHeight="1" thickBot="1">
      <c r="B13" s="16" t="s">
        <v>129</v>
      </c>
      <c r="C13" s="55">
        <f aca="true" t="shared" si="2" ref="C13:H13">C7*C11</f>
        <v>23952500</v>
      </c>
      <c r="D13" s="55">
        <f t="shared" si="2"/>
        <v>17120428.860763967</v>
      </c>
      <c r="E13" s="55">
        <f t="shared" si="2"/>
        <v>15564026.237058152</v>
      </c>
      <c r="F13" s="55">
        <f t="shared" si="2"/>
        <v>11251857.059985245</v>
      </c>
      <c r="G13" s="55">
        <f t="shared" si="2"/>
        <v>9716700.872099148</v>
      </c>
      <c r="H13" s="55">
        <f t="shared" si="2"/>
        <v>8375434.953424915</v>
      </c>
    </row>
    <row r="14" spans="2:8" s="1" customFormat="1" ht="15" customHeight="1" thickBot="1">
      <c r="B14" s="16" t="s">
        <v>130</v>
      </c>
      <c r="C14" s="55">
        <f aca="true" t="shared" si="3" ref="C14:H14">C8*C11</f>
        <v>7500000</v>
      </c>
      <c r="D14" s="55">
        <f t="shared" si="3"/>
        <v>19090909.09090909</v>
      </c>
      <c r="E14" s="55">
        <f t="shared" si="3"/>
        <v>17355371.900826443</v>
      </c>
      <c r="F14" s="55">
        <f t="shared" si="3"/>
        <v>15777610.818933127</v>
      </c>
      <c r="G14" s="55">
        <f t="shared" si="3"/>
        <v>14343282.562666481</v>
      </c>
      <c r="H14" s="55">
        <f t="shared" si="3"/>
        <v>13039347.784242254</v>
      </c>
    </row>
    <row r="15" spans="2:8" s="1" customFormat="1" ht="15" customHeight="1" thickBot="1">
      <c r="B15" s="16" t="s">
        <v>11</v>
      </c>
      <c r="C15" s="55">
        <f aca="true" t="shared" si="4" ref="C15:H15">C14-C13</f>
        <v>-16452500</v>
      </c>
      <c r="D15" s="55">
        <f t="shared" si="4"/>
        <v>1970480.2301451229</v>
      </c>
      <c r="E15" s="55">
        <f t="shared" si="4"/>
        <v>1791345.6637682915</v>
      </c>
      <c r="F15" s="55">
        <f t="shared" si="4"/>
        <v>4525753.758947883</v>
      </c>
      <c r="G15" s="55">
        <f t="shared" si="4"/>
        <v>4626581.690567333</v>
      </c>
      <c r="H15" s="55">
        <f t="shared" si="4"/>
        <v>4663912.830817339</v>
      </c>
    </row>
    <row r="16" spans="2:8" s="1" customFormat="1" ht="15" customHeight="1" thickBot="1">
      <c r="B16" s="16" t="s">
        <v>4</v>
      </c>
      <c r="C16" s="92">
        <f>SUM(C13:H13)</f>
        <v>85980947.98333143</v>
      </c>
      <c r="D16" s="33"/>
      <c r="E16" s="33"/>
      <c r="F16" s="33"/>
      <c r="G16" s="33"/>
      <c r="H16" s="33"/>
    </row>
    <row r="17" spans="2:10" s="1" customFormat="1" ht="15" customHeight="1" thickBot="1">
      <c r="B17" s="16" t="s">
        <v>5</v>
      </c>
      <c r="C17" s="92">
        <f>SUM(C14:H14)</f>
        <v>87106522.1575774</v>
      </c>
      <c r="D17" s="84"/>
      <c r="E17" s="84">
        <v>0</v>
      </c>
      <c r="F17" s="84">
        <v>1</v>
      </c>
      <c r="G17" s="84">
        <v>2</v>
      </c>
      <c r="H17" s="84">
        <v>3</v>
      </c>
      <c r="I17" s="84">
        <v>4</v>
      </c>
      <c r="J17" s="84">
        <v>5</v>
      </c>
    </row>
    <row r="18" spans="2:10" s="1" customFormat="1" ht="15" customHeight="1" thickBot="1">
      <c r="B18" s="36" t="s">
        <v>6</v>
      </c>
      <c r="C18" s="92">
        <f>C17-C16</f>
        <v>1125574.1742459685</v>
      </c>
      <c r="D18" s="85" t="s">
        <v>7</v>
      </c>
      <c r="E18" s="16"/>
      <c r="G18"/>
      <c r="H18"/>
      <c r="I18" s="84">
        <f>G7</f>
        <v>14226221.746840365</v>
      </c>
      <c r="J18" s="84">
        <f>H7</f>
        <v>13488721.746840365</v>
      </c>
    </row>
    <row r="19" spans="2:10" s="1" customFormat="1" ht="15" customHeight="1" thickBot="1">
      <c r="B19" s="36" t="s">
        <v>85</v>
      </c>
      <c r="C19" s="47">
        <f>C17/C16</f>
        <v>1.0130909719030334</v>
      </c>
      <c r="D19" s="85" t="s">
        <v>86</v>
      </c>
      <c r="E19" s="16"/>
      <c r="G19"/>
      <c r="H19"/>
      <c r="I19" s="84">
        <f>G8</f>
        <v>21000000</v>
      </c>
      <c r="J19" s="84">
        <f>H8</f>
        <v>21000000</v>
      </c>
    </row>
    <row r="20" spans="2:11" s="1" customFormat="1" ht="15" customHeight="1" thickBot="1">
      <c r="B20" s="36" t="s">
        <v>87</v>
      </c>
      <c r="C20" s="139">
        <f>IRR(C9:H9)</f>
        <v>0.12129161442621712</v>
      </c>
      <c r="D20" s="85"/>
      <c r="E20" s="16"/>
      <c r="G20"/>
      <c r="H20"/>
      <c r="I20" s="84"/>
      <c r="J20" s="84"/>
      <c r="K20" s="140"/>
    </row>
    <row r="21" spans="2:10" s="1" customFormat="1" ht="15" customHeight="1" thickBot="1">
      <c r="B21" s="36" t="s">
        <v>12</v>
      </c>
      <c r="C21" s="141">
        <v>0.03</v>
      </c>
      <c r="D21" s="140" t="s">
        <v>13</v>
      </c>
      <c r="E21" s="16"/>
      <c r="G21"/>
      <c r="H21"/>
      <c r="I21" s="84">
        <v>4</v>
      </c>
      <c r="J21" s="84">
        <v>5</v>
      </c>
    </row>
    <row r="22" spans="2:10" s="1" customFormat="1" ht="15" customHeight="1" thickBot="1">
      <c r="B22" s="142" t="s">
        <v>14</v>
      </c>
      <c r="C22" s="143">
        <f>C7*C21</f>
        <v>718575</v>
      </c>
      <c r="D22" s="85" t="s">
        <v>88</v>
      </c>
      <c r="E22" s="16"/>
      <c r="G22"/>
      <c r="I22" s="84">
        <f>I19-I18</f>
        <v>6773778.253159635</v>
      </c>
      <c r="J22" s="84">
        <f>J19-J18</f>
        <v>7511278.253159635</v>
      </c>
    </row>
    <row r="23" spans="2:10" s="1" customFormat="1" ht="15" customHeight="1" thickBot="1">
      <c r="B23" s="142" t="s">
        <v>15</v>
      </c>
      <c r="C23" s="50">
        <v>0.08</v>
      </c>
      <c r="D23" s="85" t="s">
        <v>26</v>
      </c>
      <c r="E23" s="84" t="e">
        <f>C11*#REF!</f>
        <v>#REF!</v>
      </c>
      <c r="F23" s="84" t="e">
        <f>D11*#REF!</f>
        <v>#REF!</v>
      </c>
      <c r="G23" s="84" t="e">
        <f>E11*#REF!</f>
        <v>#REF!</v>
      </c>
      <c r="H23" s="84" t="e">
        <f>F11*#REF!</f>
        <v>#REF!</v>
      </c>
      <c r="I23" s="84">
        <f>G11*I22</f>
        <v>4626581.690567333</v>
      </c>
      <c r="J23" s="84">
        <f>H11*J22</f>
        <v>4663912.830817338</v>
      </c>
    </row>
    <row r="24" spans="2:3" s="1" customFormat="1" ht="15" customHeight="1" thickBot="1">
      <c r="B24" s="142" t="s">
        <v>16</v>
      </c>
      <c r="C24" s="141">
        <v>5</v>
      </c>
    </row>
    <row r="25" spans="2:3" s="1" customFormat="1" ht="15" customHeight="1" hidden="1">
      <c r="B25" s="142" t="s">
        <v>17</v>
      </c>
      <c r="C25" s="61">
        <v>1</v>
      </c>
    </row>
    <row r="26" spans="2:6" s="1" customFormat="1" ht="15" customHeight="1" thickBot="1">
      <c r="B26" s="142" t="s">
        <v>18</v>
      </c>
      <c r="C26" s="134">
        <f>-PMT(C23,C24*C25,C22)</f>
        <v>179971.7468403645</v>
      </c>
      <c r="E26" s="1" t="s">
        <v>19</v>
      </c>
      <c r="F26" s="144">
        <f>$C$22*(($C$23/$C25)/(1-(1+($C$23/$C25))^-($C$24*$C25)))</f>
        <v>179971.74684036456</v>
      </c>
    </row>
    <row r="27" spans="2:3" s="1" customFormat="1" ht="15" customHeight="1" thickBot="1">
      <c r="B27" s="142" t="s">
        <v>20</v>
      </c>
      <c r="C27" s="134">
        <f>SUM(D6:H6)</f>
        <v>899858.7342018225</v>
      </c>
    </row>
    <row r="28" spans="2:5" s="1" customFormat="1" ht="15" customHeight="1" thickBot="1">
      <c r="B28" s="142" t="s">
        <v>21</v>
      </c>
      <c r="C28" s="40">
        <f>C27-C22</f>
        <v>181283.73420182255</v>
      </c>
      <c r="D28" s="145">
        <f>C28/C27</f>
        <v>0.20145799258438246</v>
      </c>
      <c r="E28" s="7" t="s">
        <v>22</v>
      </c>
    </row>
    <row r="29" spans="2:3" s="1" customFormat="1" ht="15" customHeight="1" thickBot="1">
      <c r="B29" s="142" t="s">
        <v>23</v>
      </c>
      <c r="C29" s="94">
        <f>ABS(C22+C9)</f>
        <v>15733925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2" shapeId="95922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Phillip/LeBel User</dc:creator>
  <cp:keywords/>
  <dc:description/>
  <cp:lastModifiedBy>Phillip/LeBel User</cp:lastModifiedBy>
  <dcterms:created xsi:type="dcterms:W3CDTF">2010-07-17T02:46:23Z</dcterms:created>
  <cp:category/>
  <cp:version/>
  <cp:contentType/>
  <cp:contentStatus/>
</cp:coreProperties>
</file>