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320" windowWidth="20960" windowHeight="11320" tabRatio="206" activeTab="0"/>
  </bookViews>
  <sheets>
    <sheet name="AmDjenaMaquette.x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<sst xmlns="http://schemas.openxmlformats.org/spreadsheetml/2006/main" count="356" uniqueCount="118">
  <si>
    <r>
      <t>iii.  Valeur Actualisée des Bénéfices (</t>
    </r>
    <r>
      <rPr>
        <b/>
        <sz val="12"/>
        <rFont val="Helv"/>
        <family val="0"/>
      </rPr>
      <t>VAAB</t>
    </r>
    <r>
      <rPr>
        <sz val="12"/>
        <rFont val="Helv"/>
        <family val="0"/>
      </rPr>
      <t>):</t>
    </r>
  </si>
  <si>
    <r>
      <t>iv.  Valeur Actuelle des Bénéfices(</t>
    </r>
    <r>
      <rPr>
        <b/>
        <sz val="12"/>
        <rFont val="Helv"/>
        <family val="0"/>
      </rPr>
      <t>VAB</t>
    </r>
    <r>
      <rPr>
        <sz val="12"/>
        <rFont val="Helv"/>
        <family val="0"/>
      </rPr>
      <t>):</t>
    </r>
  </si>
  <si>
    <t xml:space="preserve">     Des tests de sensibilité nous permet de dégager des solutions basées sur des</t>
  </si>
  <si>
    <t>Evaluation Financière du Projet d'Elevage de Am Djena</t>
  </si>
  <si>
    <t>G.  Evaluation financière:</t>
  </si>
  <si>
    <t>interne espéré (TRIE). La VANE est obtenue en multipliant les VAN possibles par</t>
  </si>
  <si>
    <t>iv. coefficient de majoration des vaccins:</t>
  </si>
  <si>
    <t>v.  prix unitaires des mobylettes:</t>
  </si>
  <si>
    <t>vi. prix unitaire de la clôture:</t>
  </si>
  <si>
    <t>vii.  prix unitaire des seringues:</t>
  </si>
  <si>
    <t>Fréquence</t>
  </si>
  <si>
    <t>Coefficient d'actualisation:</t>
  </si>
  <si>
    <r>
      <t>i.  Valeur Annuelle Actualisée des Coûts (</t>
    </r>
    <r>
      <rPr>
        <b/>
        <sz val="10"/>
        <rFont val="Helv"/>
        <family val="0"/>
      </rPr>
      <t>VAAC</t>
    </r>
    <r>
      <rPr>
        <sz val="10"/>
        <rFont val="Helv"/>
        <family val="0"/>
      </rPr>
      <t>):</t>
    </r>
  </si>
  <si>
    <r>
      <t>ii. Valeur Actuelle des Coûts (</t>
    </r>
    <r>
      <rPr>
        <b/>
        <sz val="10"/>
        <rFont val="Helv"/>
        <family val="0"/>
      </rPr>
      <t>VAC</t>
    </r>
    <r>
      <rPr>
        <sz val="10"/>
        <rFont val="Helv"/>
        <family val="0"/>
      </rPr>
      <t>):</t>
    </r>
  </si>
  <si>
    <r>
      <t>iii.  Valeur Actualisée des Bénéfices (</t>
    </r>
    <r>
      <rPr>
        <b/>
        <sz val="10"/>
        <rFont val="Helv"/>
        <family val="0"/>
      </rPr>
      <t>VAAB</t>
    </r>
    <r>
      <rPr>
        <sz val="10"/>
        <rFont val="Helv"/>
        <family val="0"/>
      </rPr>
      <t>):</t>
    </r>
  </si>
  <si>
    <r>
      <t>iv.  Valeur Actuelle des Bénéfices(</t>
    </r>
    <r>
      <rPr>
        <b/>
        <sz val="10"/>
        <rFont val="Helv"/>
        <family val="0"/>
      </rPr>
      <t>VAB</t>
    </r>
    <r>
      <rPr>
        <sz val="10"/>
        <rFont val="Helv"/>
        <family val="0"/>
      </rPr>
      <t>):</t>
    </r>
  </si>
  <si>
    <r>
      <t>C.  Coûts de Production (</t>
    </r>
    <r>
      <rPr>
        <sz val="10"/>
        <rFont val="Helv"/>
        <family val="0"/>
      </rPr>
      <t>vaccins</t>
    </r>
    <r>
      <rPr>
        <b/>
        <sz val="10"/>
        <rFont val="Helv"/>
        <family val="0"/>
      </rPr>
      <t>)</t>
    </r>
  </si>
  <si>
    <t>VAN</t>
  </si>
  <si>
    <r>
      <t xml:space="preserve">      </t>
    </r>
    <r>
      <rPr>
        <b/>
        <sz val="10"/>
        <rFont val="Helv"/>
        <family val="0"/>
      </rPr>
      <t xml:space="preserve"> Essence</t>
    </r>
    <r>
      <rPr>
        <sz val="10"/>
        <rFont val="Helv"/>
        <family val="0"/>
      </rPr>
      <t xml:space="preserve"> pour:</t>
    </r>
  </si>
  <si>
    <r>
      <t>Entretien</t>
    </r>
    <r>
      <rPr>
        <sz val="10"/>
        <rFont val="Helv"/>
        <family val="0"/>
      </rPr>
      <t xml:space="preserve"> des véhicules</t>
    </r>
  </si>
  <si>
    <t>viii. prix unitaire de l'enclos:</t>
  </si>
  <si>
    <t>ix.  prix du camion:</t>
  </si>
  <si>
    <t>x. taux de l'entretien des véhicules:</t>
  </si>
  <si>
    <t>xi. taux de change:</t>
  </si>
  <si>
    <t>(taux de change pour mémoire)</t>
  </si>
  <si>
    <t>Projet d'Elevage Am Djena</t>
  </si>
  <si>
    <t>Année</t>
  </si>
  <si>
    <t>Année 0</t>
  </si>
  <si>
    <t>Année 1</t>
  </si>
  <si>
    <t>Année 2</t>
  </si>
  <si>
    <t>Année 3</t>
  </si>
  <si>
    <t>Année 4</t>
  </si>
  <si>
    <t>Année 5</t>
  </si>
  <si>
    <t>Cash Flow</t>
  </si>
  <si>
    <t>Rubrique:</t>
  </si>
  <si>
    <t>Unité</t>
  </si>
  <si>
    <t>Prix Unitaire</t>
  </si>
  <si>
    <t>Unite</t>
  </si>
  <si>
    <t>A.  Coûts de Fonctionnement</t>
  </si>
  <si>
    <t xml:space="preserve">       Salaires</t>
  </si>
  <si>
    <t xml:space="preserve">       Manager</t>
  </si>
  <si>
    <t xml:space="preserve">       Comptable</t>
  </si>
  <si>
    <t xml:space="preserve">       Secretaire/administrateur adjoint</t>
  </si>
  <si>
    <t xml:space="preserve">       Ouvriers</t>
  </si>
  <si>
    <t xml:space="preserve">       Agents d'animation</t>
  </si>
  <si>
    <t xml:space="preserve">       Vaccinateur</t>
  </si>
  <si>
    <t>Mécanicien/chauffeur</t>
  </si>
  <si>
    <t xml:space="preserve">       Essence pour:</t>
  </si>
  <si>
    <t xml:space="preserve">          Programme d'animation</t>
  </si>
  <si>
    <t xml:space="preserve">          (250 Litres x 5)</t>
  </si>
  <si>
    <t xml:space="preserve">          Programme de vaccination</t>
  </si>
  <si>
    <t xml:space="preserve">          (750 Litres x 5)</t>
  </si>
  <si>
    <t xml:space="preserve">          Programme de Commercialisation</t>
  </si>
  <si>
    <t xml:space="preserve">          (1500 Litres)</t>
  </si>
  <si>
    <t>Entretien des véhicules</t>
  </si>
  <si>
    <t>B.  Dépenses en Capital</t>
  </si>
  <si>
    <t xml:space="preserve">     Mobylette/Animateur</t>
  </si>
  <si>
    <t xml:space="preserve">     Mobylette/Vaccinateur</t>
  </si>
  <si>
    <t>Clôture</t>
  </si>
  <si>
    <t xml:space="preserve">     Seringues, etc.</t>
  </si>
  <si>
    <t xml:space="preserve">     Enclos</t>
  </si>
  <si>
    <t xml:space="preserve">     Camion</t>
  </si>
  <si>
    <t>C.  Coûts de Production</t>
  </si>
  <si>
    <r>
      <t xml:space="preserve">      </t>
    </r>
    <r>
      <rPr>
        <b/>
        <sz val="12"/>
        <rFont val="Helv"/>
        <family val="0"/>
      </rPr>
      <t xml:space="preserve"> Essence</t>
    </r>
    <r>
      <rPr>
        <sz val="12"/>
        <rFont val="Helv"/>
        <family val="0"/>
      </rPr>
      <t xml:space="preserve"> pour:</t>
    </r>
  </si>
  <si>
    <r>
      <t>Entretien</t>
    </r>
    <r>
      <rPr>
        <sz val="12"/>
        <rFont val="Helv"/>
        <family val="0"/>
      </rPr>
      <t xml:space="preserve"> des véhicules</t>
    </r>
  </si>
  <si>
    <r>
      <t>C.  Coûts de Production (</t>
    </r>
    <r>
      <rPr>
        <sz val="12"/>
        <rFont val="Helv"/>
        <family val="0"/>
      </rPr>
      <t>vaccins</t>
    </r>
    <r>
      <rPr>
        <b/>
        <sz val="12"/>
        <rFont val="Helv"/>
        <family val="0"/>
      </rPr>
      <t>)</t>
    </r>
  </si>
  <si>
    <r>
      <t>i.  Valeur Annuelle Actualisée des Coûts (</t>
    </r>
    <r>
      <rPr>
        <b/>
        <sz val="12"/>
        <rFont val="Helv"/>
        <family val="0"/>
      </rPr>
      <t>VAAC</t>
    </r>
    <r>
      <rPr>
        <sz val="12"/>
        <rFont val="Helv"/>
        <family val="0"/>
      </rPr>
      <t>):</t>
    </r>
  </si>
  <si>
    <r>
      <t>ii. Valeur Actuelle des Coûts (</t>
    </r>
    <r>
      <rPr>
        <b/>
        <sz val="12"/>
        <rFont val="Helv"/>
        <family val="0"/>
      </rPr>
      <t>VAC</t>
    </r>
    <r>
      <rPr>
        <sz val="12"/>
        <rFont val="Helv"/>
        <family val="0"/>
      </rPr>
      <t>):</t>
    </r>
  </si>
  <si>
    <t>probabilités, y compris la valeur actuelle nette espérée (VANE) et le taux de rentabilité</t>
  </si>
  <si>
    <t xml:space="preserve">     Vaccins</t>
  </si>
  <si>
    <t>D.  Total des Coûts:</t>
  </si>
  <si>
    <t>E.  Bénéfices:</t>
  </si>
  <si>
    <t>F.  Bénéfices Nets (=Cash Flow)</t>
  </si>
  <si>
    <t>le probabilité pertinente, et ainsi de suite avec le TRIE.</t>
  </si>
  <si>
    <t>TRI</t>
  </si>
  <si>
    <t>Prob.</t>
  </si>
  <si>
    <t>VANE</t>
  </si>
  <si>
    <t>TRIE</t>
  </si>
  <si>
    <t>a.  Taux d'actualisation:</t>
  </si>
  <si>
    <t>b.  Valeur Actuelle Nette (VAN):</t>
  </si>
  <si>
    <t>Cash Flow Actualisé</t>
  </si>
  <si>
    <t>c.  Rapport Bénéfice-Coût(RBC):</t>
  </si>
  <si>
    <t>d.  Taux de rentabilité interne(TRI):</t>
  </si>
  <si>
    <t>e.  Tests de sensibilité:</t>
  </si>
  <si>
    <t>bénéfices bruts de référence année 0</t>
  </si>
  <si>
    <t>bénéfices bruts de référence années suivantes</t>
  </si>
  <si>
    <t>coefficient des bénéfices bruts</t>
  </si>
  <si>
    <t>i.  taux d'actualisation:</t>
  </si>
  <si>
    <t>ii.  coefficient de majoration des salaires:</t>
  </si>
  <si>
    <t>iii. coefficient de majoration de l'essence:</t>
  </si>
  <si>
    <t>Le Projet Am Djena Tableau d'Evaluation</t>
  </si>
  <si>
    <t>fréquence</t>
  </si>
  <si>
    <t>Total</t>
  </si>
  <si>
    <t>Tableau d'Evaluation Financière du Projet Am Djena</t>
  </si>
  <si>
    <t>a. Taux d'intérêt</t>
  </si>
  <si>
    <t>i.  Valeur annuelle actualisée des coûts (VAAC):</t>
  </si>
  <si>
    <t>ii. Valeur Actuelle des coûts (VAC):</t>
  </si>
  <si>
    <t>iii.  Valeur annuelle actuealisée des bénéfices (VAAB):</t>
  </si>
  <si>
    <t>iv.  Valeur Actuelle des Bénéfices (VAB):</t>
  </si>
  <si>
    <t>c.  Rapport Bénéfice-Coût:</t>
  </si>
  <si>
    <t>d.  Taux de Rentabilité Interne (TRI):</t>
  </si>
  <si>
    <t>e.  Tests de Sensibilité:</t>
  </si>
  <si>
    <t>i.  Taux d'intérêt:</t>
  </si>
  <si>
    <t>ii.  Taux d'ajustement des salaires:</t>
  </si>
  <si>
    <t>iii. Taux d'ajustement du carburant:</t>
  </si>
  <si>
    <t>iv. Taux d'ajustement des vaccins:</t>
  </si>
  <si>
    <t>v.  Prix Unitaire des Mobylettes:</t>
  </si>
  <si>
    <t>vi. Prix unitaire de l'enclos:</t>
  </si>
  <si>
    <t>vii.  Prix unitaire des séringues:</t>
  </si>
  <si>
    <t>viii. Prix unitaire du batiment de commercialisation:</t>
  </si>
  <si>
    <t>ix.  Prix unitaire du camion:</t>
  </si>
  <si>
    <t>x. Taux d'ajustement de l'entretien:</t>
  </si>
  <si>
    <t>xi. Taux d'ajustement du prix de bétail:</t>
  </si>
  <si>
    <t>xii. Taux de change:</t>
  </si>
  <si>
    <t xml:space="preserve">     l'Evaluation financière consiste en prenant les prix du marché afin de dégager</t>
  </si>
  <si>
    <t>les solutions originales de la VAN et du TRI.  Par suite, on peut entreprendre</t>
  </si>
  <si>
    <t>des tests de sensibilité dans lesquels des variables pertinentes prennent des</t>
  </si>
  <si>
    <t>valeurs alternatives, dont le choix des valeurs est basé sur une répartition des probabilités.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</si>
</sst>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\ ###\ ###"/>
    <numFmt numFmtId="166" formatCode="0\ 000"/>
    <numFmt numFmtId="167" formatCode="0\ 000\ 000"/>
    <numFmt numFmtId="168" formatCode="000\ 000"/>
    <numFmt numFmtId="169" formatCode="0.0000000%"/>
    <numFmt numFmtId="170" formatCode="0.000%"/>
    <numFmt numFmtId="171" formatCode="0.0000%"/>
    <numFmt numFmtId="172" formatCode="\C\F\A\ ###\ ###\ ###"/>
  </numFmts>
  <fonts count="21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0"/>
      <color indexed="10"/>
      <name val="Helv"/>
      <family val="0"/>
    </font>
    <font>
      <sz val="9.5"/>
      <name val="Helv"/>
      <family val="0"/>
    </font>
    <font>
      <sz val="9.25"/>
      <name val="Helv"/>
      <family val="0"/>
    </font>
    <font>
      <b/>
      <sz val="12"/>
      <color indexed="12"/>
      <name val="Helv"/>
      <family val="0"/>
    </font>
    <font>
      <b/>
      <sz val="12"/>
      <color indexed="8"/>
      <name val="Helv"/>
      <family val="0"/>
    </font>
    <font>
      <b/>
      <sz val="14"/>
      <color indexed="12"/>
      <name val="Helv"/>
      <family val="0"/>
    </font>
    <font>
      <sz val="9"/>
      <name val="Helv"/>
      <family val="0"/>
    </font>
    <font>
      <b/>
      <sz val="10"/>
      <color indexed="8"/>
      <name val="Helv"/>
      <family val="0"/>
    </font>
    <font>
      <b/>
      <sz val="13.75"/>
      <color indexed="12"/>
      <name val="Helv"/>
      <family val="0"/>
    </font>
    <font>
      <b/>
      <sz val="16"/>
      <name val="Helv"/>
      <family val="0"/>
    </font>
    <font>
      <b/>
      <sz val="16"/>
      <color indexed="12"/>
      <name val="Helv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167" fontId="6" fillId="0" borderId="5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0" fontId="4" fillId="0" borderId="0" xfId="0" applyNumberFormat="1" applyFont="1" applyAlignment="1">
      <alignment/>
    </xf>
    <xf numFmtId="10" fontId="6" fillId="0" borderId="10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4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2" fontId="6" fillId="0" borderId="10" xfId="0" applyNumberFormat="1" applyFont="1" applyBorder="1" applyAlignment="1">
      <alignment/>
    </xf>
    <xf numFmtId="165" fontId="4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0" fontId="4" fillId="0" borderId="0" xfId="0" applyNumberFormat="1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165" fontId="10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6" fillId="2" borderId="6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167" fontId="6" fillId="3" borderId="21" xfId="0" applyNumberFormat="1" applyFont="1" applyFill="1" applyBorder="1" applyAlignment="1">
      <alignment/>
    </xf>
    <xf numFmtId="167" fontId="6" fillId="3" borderId="22" xfId="0" applyNumberFormat="1" applyFont="1" applyFill="1" applyBorder="1" applyAlignment="1">
      <alignment/>
    </xf>
    <xf numFmtId="167" fontId="6" fillId="3" borderId="23" xfId="0" applyNumberFormat="1" applyFont="1" applyFill="1" applyBorder="1" applyAlignment="1">
      <alignment/>
    </xf>
    <xf numFmtId="0" fontId="4" fillId="0" borderId="0" xfId="0" applyFont="1" applyAlignment="1">
      <alignment horizontal="right" vertical="center"/>
    </xf>
    <xf numFmtId="10" fontId="6" fillId="4" borderId="10" xfId="0" applyNumberFormat="1" applyFont="1" applyFill="1" applyBorder="1" applyAlignment="1">
      <alignment/>
    </xf>
    <xf numFmtId="0" fontId="6" fillId="0" borderId="0" xfId="0" applyFont="1" applyAlignment="1">
      <alignment horizontal="right" vertical="center"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7" fontId="1" fillId="3" borderId="21" xfId="0" applyNumberFormat="1" applyFont="1" applyFill="1" applyBorder="1" applyAlignment="1">
      <alignment/>
    </xf>
    <xf numFmtId="167" fontId="1" fillId="3" borderId="22" xfId="0" applyNumberFormat="1" applyFont="1" applyFill="1" applyBorder="1" applyAlignment="1">
      <alignment/>
    </xf>
    <xf numFmtId="167" fontId="1" fillId="3" borderId="23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5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1" fillId="2" borderId="5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6" fontId="0" fillId="0" borderId="5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1" fillId="2" borderId="6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" fillId="4" borderId="10" xfId="0" applyNumberFormat="1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4" xfId="0" applyNumberFormat="1" applyFont="1" applyBorder="1" applyAlignment="1">
      <alignment/>
    </xf>
    <xf numFmtId="0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65" fontId="1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65" fontId="1" fillId="0" borderId="8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5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14" fillId="6" borderId="20" xfId="0" applyNumberFormat="1" applyFont="1" applyFill="1" applyBorder="1" applyAlignment="1">
      <alignment/>
    </xf>
    <xf numFmtId="172" fontId="14" fillId="6" borderId="5" xfId="0" applyNumberFormat="1" applyFont="1" applyFill="1" applyBorder="1" applyAlignment="1">
      <alignment/>
    </xf>
    <xf numFmtId="172" fontId="1" fillId="5" borderId="6" xfId="0" applyNumberFormat="1" applyFont="1" applyFill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6" borderId="10" xfId="0" applyNumberFormat="1" applyFont="1" applyFill="1" applyBorder="1" applyAlignment="1">
      <alignment/>
    </xf>
    <xf numFmtId="172" fontId="1" fillId="2" borderId="6" xfId="0" applyNumberFormat="1" applyFont="1" applyFill="1" applyBorder="1" applyAlignment="1">
      <alignment/>
    </xf>
    <xf numFmtId="172" fontId="14" fillId="2" borderId="10" xfId="0" applyNumberFormat="1" applyFont="1" applyFill="1" applyBorder="1" applyAlignment="1">
      <alignment/>
    </xf>
    <xf numFmtId="172" fontId="14" fillId="2" borderId="4" xfId="0" applyNumberFormat="1" applyFont="1" applyFill="1" applyBorder="1" applyAlignment="1">
      <alignment/>
    </xf>
    <xf numFmtId="172" fontId="1" fillId="2" borderId="5" xfId="0" applyNumberFormat="1" applyFont="1" applyFill="1" applyBorder="1" applyAlignment="1">
      <alignment/>
    </xf>
    <xf numFmtId="10" fontId="1" fillId="7" borderId="10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1" fillId="0" borderId="15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4" fillId="5" borderId="10" xfId="0" applyFont="1" applyFill="1" applyBorder="1" applyAlignment="1">
      <alignment/>
    </xf>
    <xf numFmtId="172" fontId="6" fillId="0" borderId="28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10" fontId="4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6" fillId="5" borderId="10" xfId="0" applyNumberFormat="1" applyFont="1" applyFill="1" applyBorder="1" applyAlignment="1">
      <alignment/>
    </xf>
    <xf numFmtId="2" fontId="4" fillId="5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8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0" fontId="6" fillId="5" borderId="10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2" fontId="4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Les Cash Flows du Projet Am Djena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"/>
          <c:y val="0.1605"/>
          <c:w val="0.962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</c:v>
          </c:tx>
          <c:spPr>
            <a:pattFill prst="dkDnDiag">
              <a:fgClr>
                <a:srgbClr val="0000D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Sheet7!$AK$49:$AK$54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Sheet7!$AI$48:$AI$54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Cash Flow Actualis?</c:v>
          </c:tx>
          <c:spPr>
            <a:pattFill prst="dkUpDiag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Sheet7!$AK$49:$AK$54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Sheet7!$AJ$48:$AJ$54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41608472"/>
        <c:crosses val="autoZero"/>
        <c:auto val="1"/>
        <c:lblOffset val="100"/>
        <c:noMultiLvlLbl val="0"/>
      </c:catAx>
      <c:valAx>
        <c:axId val="41608472"/>
        <c:scaling>
          <c:orientation val="minMax"/>
        </c:scaling>
        <c:axPos val="l"/>
        <c:majorGridlines/>
        <c:delete val="0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64275487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67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Valeur Actuelle Nette du Projet Am Djena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5"/>
          <c:y val="0.144"/>
          <c:w val="0.9662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Sheet7!$AM$48</c:f>
              <c:strCache>
                <c:ptCount val="1"/>
                <c:pt idx="0">
                  <c:v>VAN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Sheet7!$AL$49:$AL$53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Sheet7!$AM$49:$AM$53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389319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275"/>
          <c:y val="0.86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Profil Financier du Projet Am Djena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5"/>
          <c:w val="0.96475"/>
          <c:h val="0.752"/>
        </c:manualLayout>
      </c:layout>
      <c:barChart>
        <c:barDir val="col"/>
        <c:grouping val="clustered"/>
        <c:varyColors val="0"/>
        <c:ser>
          <c:idx val="1"/>
          <c:order val="0"/>
          <c:tx>
            <c:v>VAAN</c:v>
          </c:tx>
          <c:spPr>
            <a:pattFill prst="dkDnDiag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Sheet8!$G$112:$G$116</c:f>
              <c:numCache/>
            </c:numRef>
          </c:val>
        </c:ser>
        <c:ser>
          <c:idx val="2"/>
          <c:order val="1"/>
          <c:tx>
            <c:v>Cash Flow</c:v>
          </c:tx>
          <c:spPr>
            <a:pattFill prst="dkUpDiag">
              <a:fgClr>
                <a:srgbClr val="0000D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Sheet8!$H$112:$H$116</c:f>
              <c:numCache/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</c:scaling>
        <c:axPos val="l"/>
        <c:majorGridlines/>
        <c:delete val="0"/>
        <c:numFmt formatCode="\C\F\A\ ###\ ###\ ###" sourceLinked="0"/>
        <c:majorTickMark val="out"/>
        <c:minorTickMark val="none"/>
        <c:tickLblPos val="nextTo"/>
        <c:crossAx val="6647851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475"/>
          <c:y val="0.8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Am Djena Valeur Actuelle Nette</a:t>
            </a:r>
            <a:r>
              <a:rPr lang="en-US" cap="none" sz="16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Tests de Sensibilit?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86"/>
          <c:w val="0.9685"/>
          <c:h val="0.70925"/>
        </c:manualLayout>
      </c:layout>
      <c:lineChart>
        <c:grouping val="standard"/>
        <c:varyColors val="0"/>
        <c:ser>
          <c:idx val="1"/>
          <c:order val="0"/>
          <c:tx>
            <c:v>VAN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Sheet8!$G$126:$G$129</c:f>
              <c:numCache/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</c:scaling>
        <c:axPos val="l"/>
        <c:majorGridlines/>
        <c:delete val="0"/>
        <c:numFmt formatCode="\C\F\A\ ###\ ###\ 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1605060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05"/>
          <c:y val="0.9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333375</xdr:colOff>
      <xdr:row>61</xdr:row>
      <xdr:rowOff>190500</xdr:rowOff>
    </xdr:from>
    <xdr:to>
      <xdr:col>39</xdr:col>
      <xdr:colOff>190500</xdr:colOff>
      <xdr:row>78</xdr:row>
      <xdr:rowOff>152400</xdr:rowOff>
    </xdr:to>
    <xdr:graphicFrame>
      <xdr:nvGraphicFramePr>
        <xdr:cNvPr id="1" name="Chart 1"/>
        <xdr:cNvGraphicFramePr/>
      </xdr:nvGraphicFramePr>
      <xdr:xfrm>
        <a:off x="29937075" y="1239202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285750</xdr:colOff>
      <xdr:row>45</xdr:row>
      <xdr:rowOff>104775</xdr:rowOff>
    </xdr:from>
    <xdr:to>
      <xdr:col>39</xdr:col>
      <xdr:colOff>219075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29889450" y="9105900"/>
        <a:ext cx="59626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107</xdr:row>
      <xdr:rowOff>76200</xdr:rowOff>
    </xdr:from>
    <xdr:to>
      <xdr:col>11</xdr:col>
      <xdr:colOff>85725</xdr:colOff>
      <xdr:row>130</xdr:row>
      <xdr:rowOff>142875</xdr:rowOff>
    </xdr:to>
    <xdr:graphicFrame>
      <xdr:nvGraphicFramePr>
        <xdr:cNvPr id="1" name="Chart 1"/>
        <xdr:cNvGraphicFramePr/>
      </xdr:nvGraphicFramePr>
      <xdr:xfrm>
        <a:off x="5133975" y="17173575"/>
        <a:ext cx="63436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131</xdr:row>
      <xdr:rowOff>28575</xdr:rowOff>
    </xdr:from>
    <xdr:to>
      <xdr:col>11</xdr:col>
      <xdr:colOff>76200</xdr:colOff>
      <xdr:row>153</xdr:row>
      <xdr:rowOff>47625</xdr:rowOff>
    </xdr:to>
    <xdr:graphicFrame>
      <xdr:nvGraphicFramePr>
        <xdr:cNvPr id="2" name="Chart 2"/>
        <xdr:cNvGraphicFramePr/>
      </xdr:nvGraphicFramePr>
      <xdr:xfrm>
        <a:off x="5181600" y="20935950"/>
        <a:ext cx="62865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9"/>
  <sheetViews>
    <sheetView tabSelected="1" workbookViewId="0" topLeftCell="A1">
      <selection activeCell="B37" sqref="B37"/>
    </sheetView>
  </sheetViews>
  <sheetFormatPr defaultColWidth="11.5546875" defaultRowHeight="15.75"/>
  <cols>
    <col min="1" max="1" width="30.6640625" style="1" customWidth="1"/>
    <col min="2" max="2" width="5.6640625" style="1" customWidth="1"/>
    <col min="3" max="3" width="11.99609375" style="1" customWidth="1"/>
    <col min="4" max="4" width="8.10546875" style="1" customWidth="1"/>
    <col min="5" max="5" width="10.4453125" style="2" customWidth="1"/>
    <col min="6" max="6" width="4.6640625" style="1" customWidth="1"/>
    <col min="7" max="7" width="9.88671875" style="1" customWidth="1"/>
    <col min="8" max="8" width="8.10546875" style="1" customWidth="1"/>
    <col min="9" max="9" width="9.88671875" style="2" customWidth="1"/>
    <col min="10" max="10" width="4.6640625" style="1" customWidth="1"/>
    <col min="11" max="11" width="9.88671875" style="1" customWidth="1"/>
    <col min="12" max="12" width="7.99609375" style="1" customWidth="1"/>
    <col min="13" max="13" width="9.88671875" style="2" customWidth="1"/>
    <col min="14" max="14" width="4.6640625" style="1" customWidth="1"/>
    <col min="15" max="15" width="9.88671875" style="1" customWidth="1"/>
    <col min="16" max="16" width="7.99609375" style="1" customWidth="1"/>
    <col min="17" max="17" width="9.88671875" style="2" customWidth="1"/>
    <col min="18" max="18" width="4.6640625" style="1" customWidth="1"/>
    <col min="19" max="19" width="7.99609375" style="1" customWidth="1"/>
    <col min="20" max="20" width="8.3359375" style="1" customWidth="1"/>
    <col min="21" max="21" width="9.88671875" style="2" customWidth="1"/>
    <col min="22" max="22" width="4.6640625" style="1" customWidth="1"/>
    <col min="23" max="23" width="7.99609375" style="1" customWidth="1"/>
    <col min="24" max="24" width="8.5546875" style="1" customWidth="1"/>
    <col min="25" max="25" width="9.88671875" style="2" customWidth="1"/>
    <col min="26" max="26" width="7.10546875" style="1" customWidth="1"/>
    <col min="27" max="29" width="10.6640625" style="1" customWidth="1"/>
    <col min="30" max="30" width="31.99609375" style="1" customWidth="1"/>
    <col min="31" max="31" width="10.6640625" style="1" customWidth="1"/>
    <col min="32" max="32" width="12.5546875" style="1" customWidth="1"/>
    <col min="33" max="16384" width="10.6640625" style="1" customWidth="1"/>
  </cols>
  <sheetData>
    <row r="1" spans="32:36" ht="12" customHeight="1" thickBot="1">
      <c r="AF1" s="54"/>
      <c r="AG1" s="55"/>
      <c r="AH1" s="56" t="s">
        <v>3</v>
      </c>
      <c r="AI1" s="55"/>
      <c r="AJ1" s="57"/>
    </row>
    <row r="2" spans="3:39" ht="12" customHeight="1" thickBot="1">
      <c r="C2" s="3"/>
      <c r="D2" s="4"/>
      <c r="E2" s="5" t="s">
        <v>25</v>
      </c>
      <c r="F2" s="4"/>
      <c r="G2" s="5"/>
      <c r="H2" s="6"/>
      <c r="K2" s="7"/>
      <c r="O2" s="7"/>
      <c r="S2" s="7"/>
      <c r="W2" s="7"/>
      <c r="AE2" s="9" t="s">
        <v>26</v>
      </c>
      <c r="AF2" s="40">
        <v>0</v>
      </c>
      <c r="AG2" s="40">
        <v>1</v>
      </c>
      <c r="AH2" s="40">
        <v>2</v>
      </c>
      <c r="AI2" s="40">
        <v>3</v>
      </c>
      <c r="AJ2" s="40">
        <v>4</v>
      </c>
      <c r="AK2" s="40">
        <v>5</v>
      </c>
      <c r="AM2" s="10"/>
    </row>
    <row r="3" spans="3:43" ht="12" customHeight="1" thickBot="1">
      <c r="C3" s="7"/>
      <c r="G3" s="7"/>
      <c r="K3" s="7"/>
      <c r="O3" s="7"/>
      <c r="S3" s="7"/>
      <c r="W3" s="7"/>
      <c r="AE3" s="16" t="s">
        <v>38</v>
      </c>
      <c r="AF3" s="66"/>
      <c r="AG3" s="67"/>
      <c r="AH3" s="67"/>
      <c r="AI3" s="67"/>
      <c r="AJ3" s="67"/>
      <c r="AK3" s="68"/>
      <c r="AM3" s="27"/>
      <c r="AQ3" s="2"/>
    </row>
    <row r="4" spans="1:41" ht="12" customHeight="1">
      <c r="A4" s="215" t="s">
        <v>34</v>
      </c>
      <c r="B4" s="217" t="s">
        <v>35</v>
      </c>
      <c r="C4" s="217" t="s">
        <v>36</v>
      </c>
      <c r="D4" s="219" t="s">
        <v>10</v>
      </c>
      <c r="E4" s="220" t="s">
        <v>27</v>
      </c>
      <c r="F4" s="217" t="s">
        <v>37</v>
      </c>
      <c r="G4" s="217" t="s">
        <v>36</v>
      </c>
      <c r="H4" s="219" t="s">
        <v>10</v>
      </c>
      <c r="I4" s="220" t="s">
        <v>28</v>
      </c>
      <c r="J4" s="217" t="s">
        <v>35</v>
      </c>
      <c r="K4" s="217" t="s">
        <v>36</v>
      </c>
      <c r="L4" s="219" t="s">
        <v>10</v>
      </c>
      <c r="M4" s="220" t="s">
        <v>29</v>
      </c>
      <c r="N4" s="217" t="s">
        <v>35</v>
      </c>
      <c r="O4" s="217" t="s">
        <v>36</v>
      </c>
      <c r="P4" s="219" t="s">
        <v>10</v>
      </c>
      <c r="Q4" s="220" t="s">
        <v>30</v>
      </c>
      <c r="R4" s="217" t="s">
        <v>35</v>
      </c>
      <c r="S4" s="217" t="s">
        <v>36</v>
      </c>
      <c r="T4" s="219" t="s">
        <v>10</v>
      </c>
      <c r="U4" s="220" t="s">
        <v>31</v>
      </c>
      <c r="V4" s="217" t="s">
        <v>35</v>
      </c>
      <c r="W4" s="217" t="s">
        <v>36</v>
      </c>
      <c r="X4" s="219" t="s">
        <v>10</v>
      </c>
      <c r="Y4" s="220" t="s">
        <v>32</v>
      </c>
      <c r="AE4" s="17" t="s">
        <v>40</v>
      </c>
      <c r="AF4" s="14">
        <f aca="true" t="shared" si="0" ref="AF4:AF10">E8</f>
        <v>0</v>
      </c>
      <c r="AG4" s="14">
        <f aca="true" t="shared" si="1" ref="AG4:AG10">I8</f>
        <v>0</v>
      </c>
      <c r="AH4" s="14">
        <f aca="true" t="shared" si="2" ref="AH4:AH10">M8</f>
        <v>0</v>
      </c>
      <c r="AI4" s="14">
        <f aca="true" t="shared" si="3" ref="AI4:AI10">Q8</f>
        <v>0</v>
      </c>
      <c r="AJ4" s="14">
        <f aca="true" t="shared" si="4" ref="AJ4:AJ10">U8</f>
        <v>0</v>
      </c>
      <c r="AK4" s="14">
        <f aca="true" t="shared" si="5" ref="AK4:AK10">Y8</f>
        <v>0</v>
      </c>
      <c r="AM4" s="27"/>
      <c r="AO4" s="10"/>
    </row>
    <row r="5" spans="1:41" ht="12" customHeight="1">
      <c r="A5" s="216"/>
      <c r="B5" s="218"/>
      <c r="C5" s="218"/>
      <c r="D5" s="218"/>
      <c r="E5" s="221"/>
      <c r="F5" s="218"/>
      <c r="G5" s="218"/>
      <c r="H5" s="218"/>
      <c r="I5" s="221"/>
      <c r="J5" s="218"/>
      <c r="K5" s="218"/>
      <c r="L5" s="218"/>
      <c r="M5" s="221"/>
      <c r="N5" s="218"/>
      <c r="O5" s="218"/>
      <c r="P5" s="218"/>
      <c r="Q5" s="221"/>
      <c r="R5" s="218"/>
      <c r="S5" s="218"/>
      <c r="T5" s="218"/>
      <c r="U5" s="221"/>
      <c r="V5" s="218"/>
      <c r="W5" s="218"/>
      <c r="X5" s="218"/>
      <c r="Y5" s="221"/>
      <c r="Z5" s="10"/>
      <c r="AE5" s="17" t="s">
        <v>41</v>
      </c>
      <c r="AF5" s="14">
        <f t="shared" si="0"/>
        <v>0</v>
      </c>
      <c r="AG5" s="14">
        <f t="shared" si="1"/>
        <v>0</v>
      </c>
      <c r="AH5" s="14">
        <f t="shared" si="2"/>
        <v>0</v>
      </c>
      <c r="AI5" s="14">
        <f t="shared" si="3"/>
        <v>0</v>
      </c>
      <c r="AJ5" s="14">
        <f t="shared" si="4"/>
        <v>0</v>
      </c>
      <c r="AK5" s="14">
        <f t="shared" si="5"/>
        <v>0</v>
      </c>
      <c r="AM5" s="27"/>
      <c r="AO5" s="27"/>
    </row>
    <row r="6" spans="1:41" ht="12" customHeight="1">
      <c r="A6" s="2" t="s">
        <v>38</v>
      </c>
      <c r="B6" s="11"/>
      <c r="C6" s="11"/>
      <c r="D6" s="11"/>
      <c r="E6" s="12"/>
      <c r="F6" s="11"/>
      <c r="G6" s="11"/>
      <c r="H6" s="11"/>
      <c r="I6" s="12"/>
      <c r="J6" s="11"/>
      <c r="K6" s="11"/>
      <c r="L6" s="11"/>
      <c r="M6" s="12"/>
      <c r="N6" s="11"/>
      <c r="O6" s="13"/>
      <c r="P6" s="11"/>
      <c r="Q6" s="12"/>
      <c r="R6" s="11"/>
      <c r="S6" s="11"/>
      <c r="T6" s="11"/>
      <c r="U6" s="14"/>
      <c r="V6" s="11"/>
      <c r="W6" s="13"/>
      <c r="X6" s="11"/>
      <c r="Y6" s="14"/>
      <c r="AE6" s="17" t="s">
        <v>42</v>
      </c>
      <c r="AF6" s="14">
        <f t="shared" si="0"/>
        <v>0</v>
      </c>
      <c r="AG6" s="14">
        <f t="shared" si="1"/>
        <v>0</v>
      </c>
      <c r="AH6" s="14">
        <f t="shared" si="2"/>
        <v>0</v>
      </c>
      <c r="AI6" s="14">
        <f t="shared" si="3"/>
        <v>0</v>
      </c>
      <c r="AJ6" s="14">
        <f t="shared" si="4"/>
        <v>0</v>
      </c>
      <c r="AK6" s="14">
        <f t="shared" si="5"/>
        <v>0</v>
      </c>
      <c r="AM6" s="27"/>
      <c r="AO6" s="27"/>
    </row>
    <row r="7" spans="1:41" ht="12" customHeight="1">
      <c r="A7" s="7" t="s">
        <v>39</v>
      </c>
      <c r="B7" s="11"/>
      <c r="C7" s="11"/>
      <c r="D7" s="11"/>
      <c r="E7" s="12"/>
      <c r="F7" s="11"/>
      <c r="G7" s="11"/>
      <c r="H7" s="11"/>
      <c r="I7" s="14"/>
      <c r="J7" s="11"/>
      <c r="K7" s="11"/>
      <c r="L7" s="11"/>
      <c r="M7" s="14"/>
      <c r="N7" s="11"/>
      <c r="O7" s="13"/>
      <c r="P7" s="11"/>
      <c r="Q7" s="14"/>
      <c r="R7" s="11"/>
      <c r="S7" s="13"/>
      <c r="T7" s="11"/>
      <c r="U7" s="14"/>
      <c r="V7" s="11"/>
      <c r="W7" s="13"/>
      <c r="X7" s="11"/>
      <c r="Y7" s="14"/>
      <c r="AE7" s="17" t="s">
        <v>43</v>
      </c>
      <c r="AF7" s="14">
        <f t="shared" si="0"/>
        <v>0</v>
      </c>
      <c r="AG7" s="14">
        <f t="shared" si="1"/>
        <v>0</v>
      </c>
      <c r="AH7" s="14">
        <f t="shared" si="2"/>
        <v>0</v>
      </c>
      <c r="AI7" s="14">
        <f t="shared" si="3"/>
        <v>0</v>
      </c>
      <c r="AJ7" s="14">
        <f t="shared" si="4"/>
        <v>0</v>
      </c>
      <c r="AK7" s="14">
        <f t="shared" si="5"/>
        <v>0</v>
      </c>
      <c r="AM7" s="27"/>
      <c r="AO7" s="27"/>
    </row>
    <row r="8" spans="1:41" ht="12" customHeight="1">
      <c r="A8" s="17" t="s">
        <v>40</v>
      </c>
      <c r="B8" s="11"/>
      <c r="C8" s="13"/>
      <c r="D8" s="11"/>
      <c r="E8" s="14"/>
      <c r="F8" s="11"/>
      <c r="G8" s="13"/>
      <c r="H8" s="11"/>
      <c r="I8" s="14"/>
      <c r="J8" s="11"/>
      <c r="K8" s="13"/>
      <c r="L8" s="11"/>
      <c r="M8" s="14"/>
      <c r="N8" s="11"/>
      <c r="O8" s="13"/>
      <c r="P8" s="11"/>
      <c r="Q8" s="14"/>
      <c r="R8" s="11"/>
      <c r="S8" s="13"/>
      <c r="T8" s="11"/>
      <c r="U8" s="14"/>
      <c r="V8" s="11"/>
      <c r="W8" s="13"/>
      <c r="X8" s="11"/>
      <c r="Y8" s="14"/>
      <c r="AE8" s="17" t="s">
        <v>44</v>
      </c>
      <c r="AF8" s="14">
        <f t="shared" si="0"/>
        <v>0</v>
      </c>
      <c r="AG8" s="14">
        <f t="shared" si="1"/>
        <v>0</v>
      </c>
      <c r="AH8" s="14">
        <f t="shared" si="2"/>
        <v>0</v>
      </c>
      <c r="AI8" s="14">
        <f t="shared" si="3"/>
        <v>0</v>
      </c>
      <c r="AJ8" s="14">
        <f t="shared" si="4"/>
        <v>0</v>
      </c>
      <c r="AK8" s="14">
        <f t="shared" si="5"/>
        <v>0</v>
      </c>
      <c r="AM8" s="27"/>
      <c r="AO8" s="27"/>
    </row>
    <row r="9" spans="1:41" ht="12" customHeight="1">
      <c r="A9" s="17" t="s">
        <v>41</v>
      </c>
      <c r="B9" s="11"/>
      <c r="C9" s="13"/>
      <c r="D9" s="11"/>
      <c r="E9" s="14"/>
      <c r="F9" s="11"/>
      <c r="G9" s="13"/>
      <c r="H9" s="11"/>
      <c r="I9" s="14"/>
      <c r="J9" s="11"/>
      <c r="K9" s="13"/>
      <c r="L9" s="11"/>
      <c r="M9" s="14"/>
      <c r="N9" s="11"/>
      <c r="O9" s="13"/>
      <c r="P9" s="11"/>
      <c r="Q9" s="14"/>
      <c r="R9" s="11"/>
      <c r="S9" s="13"/>
      <c r="T9" s="11"/>
      <c r="U9" s="14"/>
      <c r="V9" s="11"/>
      <c r="W9" s="13"/>
      <c r="X9" s="11"/>
      <c r="Y9" s="14"/>
      <c r="AE9" s="17" t="s">
        <v>45</v>
      </c>
      <c r="AF9" s="14">
        <f t="shared" si="0"/>
        <v>0</v>
      </c>
      <c r="AG9" s="14">
        <f t="shared" si="1"/>
        <v>0</v>
      </c>
      <c r="AH9" s="14">
        <f t="shared" si="2"/>
        <v>0</v>
      </c>
      <c r="AI9" s="14">
        <f t="shared" si="3"/>
        <v>0</v>
      </c>
      <c r="AJ9" s="14">
        <f t="shared" si="4"/>
        <v>0</v>
      </c>
      <c r="AK9" s="14">
        <f t="shared" si="5"/>
        <v>0</v>
      </c>
      <c r="AM9" s="27"/>
      <c r="AO9" s="27"/>
    </row>
    <row r="10" spans="1:41" ht="12" customHeight="1">
      <c r="A10" s="17" t="s">
        <v>42</v>
      </c>
      <c r="B10" s="11"/>
      <c r="C10" s="13"/>
      <c r="D10" s="11"/>
      <c r="E10" s="14"/>
      <c r="F10" s="11"/>
      <c r="G10" s="13"/>
      <c r="H10" s="11"/>
      <c r="I10" s="14"/>
      <c r="J10" s="11"/>
      <c r="K10" s="13"/>
      <c r="L10" s="11"/>
      <c r="M10" s="14"/>
      <c r="N10" s="11"/>
      <c r="O10" s="13"/>
      <c r="P10" s="11"/>
      <c r="Q10" s="14"/>
      <c r="R10" s="11"/>
      <c r="S10" s="13"/>
      <c r="T10" s="11"/>
      <c r="U10" s="14"/>
      <c r="V10" s="11"/>
      <c r="W10" s="13"/>
      <c r="X10" s="11"/>
      <c r="Y10" s="14"/>
      <c r="AE10" s="17" t="s">
        <v>46</v>
      </c>
      <c r="AF10" s="14">
        <f t="shared" si="0"/>
        <v>0</v>
      </c>
      <c r="AG10" s="14">
        <f t="shared" si="1"/>
        <v>0</v>
      </c>
      <c r="AH10" s="14">
        <f t="shared" si="2"/>
        <v>0</v>
      </c>
      <c r="AI10" s="14">
        <f t="shared" si="3"/>
        <v>0</v>
      </c>
      <c r="AJ10" s="14">
        <f t="shared" si="4"/>
        <v>0</v>
      </c>
      <c r="AK10" s="14">
        <f t="shared" si="5"/>
        <v>0</v>
      </c>
      <c r="AM10" s="27"/>
      <c r="AO10" s="27"/>
    </row>
    <row r="11" spans="1:41" ht="12" customHeight="1">
      <c r="A11" s="17" t="s">
        <v>43</v>
      </c>
      <c r="B11" s="11"/>
      <c r="C11" s="13"/>
      <c r="D11" s="11"/>
      <c r="E11" s="14"/>
      <c r="F11" s="11"/>
      <c r="G11" s="13"/>
      <c r="H11" s="11"/>
      <c r="I11" s="14"/>
      <c r="J11" s="11"/>
      <c r="K11" s="13"/>
      <c r="L11" s="11"/>
      <c r="M11" s="14"/>
      <c r="N11" s="11"/>
      <c r="O11" s="13"/>
      <c r="P11" s="11"/>
      <c r="Q11" s="14"/>
      <c r="R11" s="11"/>
      <c r="S11" s="13"/>
      <c r="T11" s="11"/>
      <c r="U11" s="14"/>
      <c r="V11" s="11"/>
      <c r="W11" s="13"/>
      <c r="X11" s="11"/>
      <c r="Y11" s="14"/>
      <c r="AE11" s="17" t="s">
        <v>18</v>
      </c>
      <c r="AF11" s="14"/>
      <c r="AG11" s="14"/>
      <c r="AH11" s="14"/>
      <c r="AI11" s="14"/>
      <c r="AJ11" s="14"/>
      <c r="AK11" s="14"/>
      <c r="AM11" s="27"/>
      <c r="AO11" s="27"/>
    </row>
    <row r="12" spans="1:41" ht="12" customHeight="1">
      <c r="A12" s="17" t="s">
        <v>44</v>
      </c>
      <c r="B12" s="11"/>
      <c r="C12" s="13"/>
      <c r="D12" s="11"/>
      <c r="E12" s="14"/>
      <c r="F12" s="11"/>
      <c r="G12" s="13"/>
      <c r="H12" s="11"/>
      <c r="I12" s="14"/>
      <c r="J12" s="11"/>
      <c r="K12" s="13"/>
      <c r="L12" s="11"/>
      <c r="M12" s="14"/>
      <c r="N12" s="11"/>
      <c r="O12" s="13"/>
      <c r="P12" s="11"/>
      <c r="Q12" s="14"/>
      <c r="R12" s="11"/>
      <c r="S12" s="13"/>
      <c r="T12" s="11"/>
      <c r="U12" s="14"/>
      <c r="V12" s="11"/>
      <c r="W12" s="13"/>
      <c r="X12" s="11"/>
      <c r="Y12" s="14"/>
      <c r="AE12" s="17" t="s">
        <v>48</v>
      </c>
      <c r="AF12" s="14">
        <f>E16</f>
        <v>0</v>
      </c>
      <c r="AG12" s="14">
        <f>I16</f>
        <v>0</v>
      </c>
      <c r="AH12" s="14">
        <f>M16</f>
        <v>0</v>
      </c>
      <c r="AI12" s="14">
        <f>Q16</f>
        <v>0</v>
      </c>
      <c r="AJ12" s="14">
        <f>U16</f>
        <v>0</v>
      </c>
      <c r="AK12" s="14">
        <f>Y16</f>
        <v>0</v>
      </c>
      <c r="AM12" s="28"/>
      <c r="AO12" s="27"/>
    </row>
    <row r="13" spans="1:41" ht="12" customHeight="1">
      <c r="A13" s="17" t="s">
        <v>45</v>
      </c>
      <c r="B13" s="11"/>
      <c r="C13" s="13"/>
      <c r="D13" s="11"/>
      <c r="E13" s="14"/>
      <c r="F13" s="11"/>
      <c r="G13" s="13"/>
      <c r="H13" s="11"/>
      <c r="I13" s="14"/>
      <c r="J13" s="11"/>
      <c r="K13" s="13"/>
      <c r="L13" s="11"/>
      <c r="M13" s="14"/>
      <c r="N13" s="11"/>
      <c r="O13" s="13"/>
      <c r="P13" s="11"/>
      <c r="Q13" s="14"/>
      <c r="R13" s="11"/>
      <c r="S13" s="13"/>
      <c r="T13" s="11"/>
      <c r="U13" s="14"/>
      <c r="V13" s="11"/>
      <c r="W13" s="13"/>
      <c r="X13" s="11"/>
      <c r="Y13" s="14"/>
      <c r="AE13" s="17" t="s">
        <v>49</v>
      </c>
      <c r="AF13" s="14"/>
      <c r="AG13" s="14"/>
      <c r="AH13" s="14"/>
      <c r="AI13" s="14"/>
      <c r="AJ13" s="14"/>
      <c r="AK13" s="14"/>
      <c r="AM13" s="28"/>
      <c r="AO13" s="27"/>
    </row>
    <row r="14" spans="1:41" ht="12" customHeight="1">
      <c r="A14" s="17" t="s">
        <v>46</v>
      </c>
      <c r="B14" s="11"/>
      <c r="C14" s="13"/>
      <c r="D14" s="11"/>
      <c r="E14" s="14"/>
      <c r="F14" s="11"/>
      <c r="G14" s="13"/>
      <c r="H14" s="11"/>
      <c r="I14" s="14"/>
      <c r="J14" s="11"/>
      <c r="K14" s="13"/>
      <c r="L14" s="11"/>
      <c r="M14" s="14"/>
      <c r="N14" s="11"/>
      <c r="O14" s="13"/>
      <c r="P14" s="11"/>
      <c r="Q14" s="14"/>
      <c r="R14" s="11"/>
      <c r="S14" s="13"/>
      <c r="T14" s="11"/>
      <c r="U14" s="14"/>
      <c r="V14" s="11"/>
      <c r="W14" s="13"/>
      <c r="X14" s="11"/>
      <c r="Y14" s="14"/>
      <c r="AE14" s="17" t="s">
        <v>50</v>
      </c>
      <c r="AF14" s="14">
        <f>E18</f>
        <v>0</v>
      </c>
      <c r="AG14" s="14">
        <f>I18</f>
        <v>0</v>
      </c>
      <c r="AH14" s="14">
        <f>M18</f>
        <v>0</v>
      </c>
      <c r="AI14" s="14">
        <f>Q18</f>
        <v>0</v>
      </c>
      <c r="AJ14" s="14">
        <f>U18</f>
        <v>0</v>
      </c>
      <c r="AK14" s="14">
        <f>Y18</f>
        <v>0</v>
      </c>
      <c r="AM14" s="28"/>
      <c r="AO14" s="28"/>
    </row>
    <row r="15" spans="1:41" ht="12" customHeight="1">
      <c r="A15" s="17" t="s">
        <v>47</v>
      </c>
      <c r="B15" s="11"/>
      <c r="C15" s="11"/>
      <c r="D15" s="11"/>
      <c r="E15" s="14"/>
      <c r="F15" s="11"/>
      <c r="G15" s="13"/>
      <c r="H15" s="11"/>
      <c r="I15" s="14"/>
      <c r="J15" s="11"/>
      <c r="K15" s="13"/>
      <c r="L15" s="11"/>
      <c r="M15" s="14"/>
      <c r="N15" s="11"/>
      <c r="O15" s="13"/>
      <c r="P15" s="11"/>
      <c r="Q15" s="14"/>
      <c r="R15" s="11"/>
      <c r="S15" s="13"/>
      <c r="T15" s="11"/>
      <c r="U15" s="14"/>
      <c r="V15" s="11"/>
      <c r="W15" s="13"/>
      <c r="X15" s="11"/>
      <c r="Y15" s="14"/>
      <c r="AE15" s="17" t="s">
        <v>51</v>
      </c>
      <c r="AF15" s="14"/>
      <c r="AG15" s="14"/>
      <c r="AH15" s="14"/>
      <c r="AI15" s="14"/>
      <c r="AJ15" s="14"/>
      <c r="AK15" s="14"/>
      <c r="AM15" s="27"/>
      <c r="AO15" s="28"/>
    </row>
    <row r="16" spans="1:41" ht="12" customHeight="1">
      <c r="A16" s="17" t="s">
        <v>48</v>
      </c>
      <c r="B16" s="13"/>
      <c r="C16" s="11"/>
      <c r="D16" s="11"/>
      <c r="E16" s="14"/>
      <c r="F16" s="18"/>
      <c r="G16" s="13"/>
      <c r="H16" s="11"/>
      <c r="I16" s="14"/>
      <c r="J16" s="18"/>
      <c r="K16" s="13"/>
      <c r="L16" s="11"/>
      <c r="M16" s="14"/>
      <c r="N16" s="11"/>
      <c r="O16" s="13"/>
      <c r="P16" s="11"/>
      <c r="Q16" s="14"/>
      <c r="R16" s="11"/>
      <c r="S16" s="13"/>
      <c r="T16" s="11"/>
      <c r="U16" s="14"/>
      <c r="V16" s="11"/>
      <c r="W16" s="13"/>
      <c r="X16" s="11"/>
      <c r="Y16" s="14"/>
      <c r="Z16" s="2"/>
      <c r="AE16" s="17" t="s">
        <v>52</v>
      </c>
      <c r="AF16" s="14">
        <f>E20</f>
        <v>0</v>
      </c>
      <c r="AG16" s="14">
        <f>I20</f>
        <v>0</v>
      </c>
      <c r="AH16" s="14">
        <f>M20</f>
        <v>0</v>
      </c>
      <c r="AI16" s="14">
        <f>Q20</f>
        <v>0</v>
      </c>
      <c r="AJ16" s="14">
        <f>U20</f>
        <v>0</v>
      </c>
      <c r="AK16" s="14">
        <f>Y20</f>
        <v>0</v>
      </c>
      <c r="AM16" s="27"/>
      <c r="AO16" s="28"/>
    </row>
    <row r="17" spans="1:41" ht="12" customHeight="1">
      <c r="A17" s="17" t="s">
        <v>49</v>
      </c>
      <c r="B17" s="11"/>
      <c r="C17" s="11"/>
      <c r="D17" s="11"/>
      <c r="E17" s="14"/>
      <c r="F17" s="11"/>
      <c r="G17" s="13"/>
      <c r="H17" s="11"/>
      <c r="I17" s="14"/>
      <c r="J17" s="18"/>
      <c r="K17" s="13"/>
      <c r="L17" s="11"/>
      <c r="M17" s="14"/>
      <c r="N17" s="11"/>
      <c r="O17" s="13"/>
      <c r="P17" s="11"/>
      <c r="Q17" s="14"/>
      <c r="R17" s="11"/>
      <c r="S17" s="13"/>
      <c r="T17" s="11"/>
      <c r="U17" s="14"/>
      <c r="V17" s="11"/>
      <c r="W17" s="13"/>
      <c r="X17" s="11"/>
      <c r="Y17" s="14"/>
      <c r="AE17" s="17" t="s">
        <v>53</v>
      </c>
      <c r="AF17" s="14"/>
      <c r="AG17" s="14"/>
      <c r="AH17" s="14"/>
      <c r="AI17" s="14"/>
      <c r="AJ17" s="14"/>
      <c r="AK17" s="14"/>
      <c r="AM17" s="27"/>
      <c r="AO17" s="27"/>
    </row>
    <row r="18" spans="1:41" ht="12" customHeight="1">
      <c r="A18" s="17" t="s">
        <v>50</v>
      </c>
      <c r="B18" s="13"/>
      <c r="C18" s="11"/>
      <c r="D18" s="11"/>
      <c r="E18" s="14"/>
      <c r="F18" s="18"/>
      <c r="G18" s="13"/>
      <c r="H18" s="11"/>
      <c r="I18" s="14"/>
      <c r="J18" s="18"/>
      <c r="K18" s="13"/>
      <c r="L18" s="11"/>
      <c r="M18" s="14"/>
      <c r="N18" s="18"/>
      <c r="O18" s="13"/>
      <c r="P18" s="11"/>
      <c r="Q18" s="14"/>
      <c r="R18" s="18"/>
      <c r="S18" s="13"/>
      <c r="T18" s="11"/>
      <c r="U18" s="14"/>
      <c r="V18" s="18"/>
      <c r="W18" s="13"/>
      <c r="X18" s="11"/>
      <c r="Y18" s="14"/>
      <c r="AE18" s="16" t="s">
        <v>19</v>
      </c>
      <c r="AF18" s="14">
        <f>E22</f>
        <v>0</v>
      </c>
      <c r="AG18" s="14">
        <f>I22</f>
        <v>0</v>
      </c>
      <c r="AH18" s="14">
        <f>M22</f>
        <v>0</v>
      </c>
      <c r="AI18" s="14">
        <f>Q22</f>
        <v>0</v>
      </c>
      <c r="AJ18" s="14">
        <f>U22</f>
        <v>0</v>
      </c>
      <c r="AK18" s="14">
        <f>Y22</f>
        <v>0</v>
      </c>
      <c r="AM18" s="28"/>
      <c r="AO18" s="27"/>
    </row>
    <row r="19" spans="1:41" ht="12" customHeight="1">
      <c r="A19" s="17" t="s">
        <v>51</v>
      </c>
      <c r="B19" s="11"/>
      <c r="C19" s="11"/>
      <c r="D19" s="11"/>
      <c r="E19" s="14"/>
      <c r="F19" s="11"/>
      <c r="G19" s="13"/>
      <c r="H19" s="11"/>
      <c r="I19" s="14"/>
      <c r="J19" s="18"/>
      <c r="K19" s="13"/>
      <c r="L19" s="11"/>
      <c r="M19" s="14"/>
      <c r="N19" s="11"/>
      <c r="O19" s="13"/>
      <c r="P19" s="11"/>
      <c r="Q19" s="14"/>
      <c r="R19" s="11"/>
      <c r="S19" s="13"/>
      <c r="T19" s="11"/>
      <c r="U19" s="14"/>
      <c r="V19" s="11"/>
      <c r="W19" s="13"/>
      <c r="X19" s="11"/>
      <c r="Y19" s="14"/>
      <c r="AE19" s="16" t="s">
        <v>55</v>
      </c>
      <c r="AF19" s="26"/>
      <c r="AG19" s="14"/>
      <c r="AH19" s="14"/>
      <c r="AI19" s="14"/>
      <c r="AJ19" s="14"/>
      <c r="AK19" s="14"/>
      <c r="AM19" s="27"/>
      <c r="AO19" s="27"/>
    </row>
    <row r="20" spans="1:41" ht="12" customHeight="1">
      <c r="A20" s="17" t="s">
        <v>52</v>
      </c>
      <c r="B20" s="13"/>
      <c r="C20" s="11"/>
      <c r="D20" s="11"/>
      <c r="E20" s="14"/>
      <c r="F20" s="18"/>
      <c r="G20" s="13"/>
      <c r="H20" s="11"/>
      <c r="I20" s="14"/>
      <c r="J20" s="18"/>
      <c r="K20" s="13"/>
      <c r="L20" s="11"/>
      <c r="M20" s="14"/>
      <c r="N20" s="18"/>
      <c r="O20" s="13"/>
      <c r="P20" s="11"/>
      <c r="Q20" s="14"/>
      <c r="R20" s="18"/>
      <c r="S20" s="13"/>
      <c r="T20" s="11"/>
      <c r="U20" s="14"/>
      <c r="V20" s="11"/>
      <c r="W20" s="13"/>
      <c r="X20" s="11"/>
      <c r="Y20" s="14"/>
      <c r="AE20" s="17" t="s">
        <v>56</v>
      </c>
      <c r="AF20" s="14">
        <f aca="true" t="shared" si="6" ref="AF20:AF25">E25</f>
        <v>0</v>
      </c>
      <c r="AG20" s="14"/>
      <c r="AH20" s="14"/>
      <c r="AI20" s="14">
        <f>Q26</f>
        <v>0</v>
      </c>
      <c r="AJ20" s="14"/>
      <c r="AK20" s="14"/>
      <c r="AM20" s="27"/>
      <c r="AO20" s="28"/>
    </row>
    <row r="21" spans="1:41" ht="12" customHeight="1">
      <c r="A21" s="17" t="s">
        <v>53</v>
      </c>
      <c r="B21" s="11"/>
      <c r="C21" s="11"/>
      <c r="D21" s="11"/>
      <c r="E21" s="14"/>
      <c r="F21" s="11"/>
      <c r="G21" s="13"/>
      <c r="H21" s="11"/>
      <c r="I21" s="14"/>
      <c r="J21" s="11"/>
      <c r="K21" s="13"/>
      <c r="L21" s="11"/>
      <c r="M21" s="14"/>
      <c r="N21" s="11"/>
      <c r="O21" s="13"/>
      <c r="P21" s="11"/>
      <c r="Q21" s="14"/>
      <c r="R21" s="11"/>
      <c r="S21" s="13"/>
      <c r="T21" s="11"/>
      <c r="U21" s="14"/>
      <c r="V21" s="11"/>
      <c r="W21" s="13"/>
      <c r="X21" s="11"/>
      <c r="Y21" s="14"/>
      <c r="AE21" s="17" t="s">
        <v>57</v>
      </c>
      <c r="AF21" s="14">
        <f t="shared" si="6"/>
        <v>0</v>
      </c>
      <c r="AG21" s="14"/>
      <c r="AH21" s="14"/>
      <c r="AI21" s="14"/>
      <c r="AJ21" s="14"/>
      <c r="AK21" s="14"/>
      <c r="AM21" s="27"/>
      <c r="AO21" s="27"/>
    </row>
    <row r="22" spans="1:41" ht="12" customHeight="1">
      <c r="A22" s="17" t="s">
        <v>54</v>
      </c>
      <c r="B22" s="11"/>
      <c r="C22" s="13"/>
      <c r="D22" s="11"/>
      <c r="E22" s="14"/>
      <c r="F22" s="11"/>
      <c r="G22" s="13"/>
      <c r="H22" s="11"/>
      <c r="I22" s="14"/>
      <c r="J22" s="11"/>
      <c r="K22" s="13"/>
      <c r="L22" s="11"/>
      <c r="M22" s="14"/>
      <c r="N22" s="11"/>
      <c r="O22" s="13"/>
      <c r="P22" s="11"/>
      <c r="Q22" s="14"/>
      <c r="R22" s="11"/>
      <c r="S22" s="13"/>
      <c r="T22" s="11"/>
      <c r="U22" s="14"/>
      <c r="V22" s="11"/>
      <c r="W22" s="13"/>
      <c r="X22" s="11"/>
      <c r="Y22" s="14"/>
      <c r="AE22" s="17" t="s">
        <v>58</v>
      </c>
      <c r="AF22" s="14">
        <f t="shared" si="6"/>
        <v>0</v>
      </c>
      <c r="AG22" s="14"/>
      <c r="AH22" s="14"/>
      <c r="AI22" s="14"/>
      <c r="AJ22" s="14"/>
      <c r="AK22" s="14"/>
      <c r="AM22" s="27"/>
      <c r="AO22" s="27"/>
    </row>
    <row r="23" spans="2:41" ht="12" customHeight="1">
      <c r="B23" s="11"/>
      <c r="C23" s="11"/>
      <c r="D23" s="11"/>
      <c r="E23" s="14"/>
      <c r="F23" s="11"/>
      <c r="G23" s="13"/>
      <c r="H23" s="11"/>
      <c r="I23" s="14"/>
      <c r="J23" s="11"/>
      <c r="K23" s="13"/>
      <c r="L23" s="11"/>
      <c r="M23" s="14"/>
      <c r="N23" s="11"/>
      <c r="O23" s="13"/>
      <c r="P23" s="11"/>
      <c r="Q23" s="14"/>
      <c r="R23" s="11"/>
      <c r="S23" s="13"/>
      <c r="T23" s="11"/>
      <c r="U23" s="14"/>
      <c r="V23" s="11"/>
      <c r="W23" s="13"/>
      <c r="X23" s="11"/>
      <c r="Y23" s="14"/>
      <c r="AE23" s="17" t="s">
        <v>59</v>
      </c>
      <c r="AF23" s="14">
        <f t="shared" si="6"/>
        <v>0</v>
      </c>
      <c r="AG23" s="14"/>
      <c r="AH23" s="14"/>
      <c r="AI23" s="14"/>
      <c r="AJ23" s="14"/>
      <c r="AK23" s="14">
        <f>Y28</f>
        <v>0</v>
      </c>
      <c r="AM23" s="27"/>
      <c r="AO23" s="27"/>
    </row>
    <row r="24" spans="1:41" ht="12" customHeight="1">
      <c r="A24" s="2" t="s">
        <v>55</v>
      </c>
      <c r="B24" s="11"/>
      <c r="C24" s="11"/>
      <c r="D24" s="11"/>
      <c r="E24" s="14"/>
      <c r="F24" s="11"/>
      <c r="G24" s="13"/>
      <c r="H24" s="11"/>
      <c r="I24" s="14"/>
      <c r="J24" s="11"/>
      <c r="K24" s="13"/>
      <c r="L24" s="11"/>
      <c r="M24" s="14"/>
      <c r="N24" s="11"/>
      <c r="O24" s="13"/>
      <c r="P24" s="11"/>
      <c r="Q24" s="14"/>
      <c r="R24" s="11"/>
      <c r="S24" s="13"/>
      <c r="T24" s="11"/>
      <c r="U24" s="14"/>
      <c r="V24" s="11"/>
      <c r="W24" s="13"/>
      <c r="X24" s="11"/>
      <c r="Y24" s="14"/>
      <c r="AE24" s="17" t="s">
        <v>60</v>
      </c>
      <c r="AF24" s="14">
        <f t="shared" si="6"/>
        <v>0</v>
      </c>
      <c r="AG24" s="14"/>
      <c r="AH24" s="14"/>
      <c r="AI24" s="14"/>
      <c r="AJ24" s="14"/>
      <c r="AK24" s="14"/>
      <c r="AM24" s="27"/>
      <c r="AO24" s="27"/>
    </row>
    <row r="25" spans="1:41" ht="12" customHeight="1">
      <c r="A25" s="17" t="s">
        <v>56</v>
      </c>
      <c r="B25" s="11"/>
      <c r="C25" s="13"/>
      <c r="D25" s="11"/>
      <c r="E25" s="14"/>
      <c r="F25" s="11"/>
      <c r="G25" s="13"/>
      <c r="H25" s="11"/>
      <c r="I25" s="14"/>
      <c r="J25" s="11"/>
      <c r="K25" s="13"/>
      <c r="L25" s="11"/>
      <c r="M25" s="14"/>
      <c r="N25" s="11"/>
      <c r="O25" s="13"/>
      <c r="P25" s="11"/>
      <c r="Q25" s="14"/>
      <c r="R25" s="11"/>
      <c r="S25" s="13"/>
      <c r="T25" s="11"/>
      <c r="U25" s="14"/>
      <c r="V25" s="11"/>
      <c r="W25" s="13"/>
      <c r="X25" s="11"/>
      <c r="Y25" s="14"/>
      <c r="AE25" s="17" t="s">
        <v>61</v>
      </c>
      <c r="AF25" s="14">
        <f t="shared" si="6"/>
        <v>0</v>
      </c>
      <c r="AG25" s="14"/>
      <c r="AH25" s="14"/>
      <c r="AI25" s="14"/>
      <c r="AJ25" s="14"/>
      <c r="AK25" s="14"/>
      <c r="AM25" s="27"/>
      <c r="AO25" s="27"/>
    </row>
    <row r="26" spans="1:41" ht="12" customHeight="1" thickBot="1">
      <c r="A26" s="17" t="s">
        <v>57</v>
      </c>
      <c r="B26" s="11"/>
      <c r="C26" s="13"/>
      <c r="D26" s="11"/>
      <c r="E26" s="14"/>
      <c r="F26" s="11"/>
      <c r="G26" s="13"/>
      <c r="H26" s="11"/>
      <c r="I26" s="14"/>
      <c r="J26" s="11"/>
      <c r="K26" s="13"/>
      <c r="L26" s="11"/>
      <c r="M26" s="14"/>
      <c r="N26" s="11"/>
      <c r="O26" s="13"/>
      <c r="P26" s="11"/>
      <c r="Q26" s="14"/>
      <c r="R26" s="11"/>
      <c r="S26" s="13"/>
      <c r="T26" s="11"/>
      <c r="U26" s="14"/>
      <c r="V26" s="11"/>
      <c r="W26" s="13"/>
      <c r="X26" s="11"/>
      <c r="Y26" s="14"/>
      <c r="AE26" s="71" t="s">
        <v>16</v>
      </c>
      <c r="AF26" s="21">
        <f>E33</f>
        <v>0</v>
      </c>
      <c r="AG26" s="21">
        <f>I33</f>
        <v>0</v>
      </c>
      <c r="AH26" s="21">
        <f>M33</f>
        <v>0</v>
      </c>
      <c r="AI26" s="21">
        <f>Q33</f>
        <v>0</v>
      </c>
      <c r="AJ26" s="21">
        <f>U33</f>
        <v>0</v>
      </c>
      <c r="AK26" s="21">
        <f>Y33</f>
        <v>0</v>
      </c>
      <c r="AM26" s="27"/>
      <c r="AO26" s="27"/>
    </row>
    <row r="27" spans="1:41" ht="12" customHeight="1">
      <c r="A27" s="17" t="s">
        <v>58</v>
      </c>
      <c r="B27" s="11"/>
      <c r="C27" s="13"/>
      <c r="D27" s="11"/>
      <c r="E27" s="14"/>
      <c r="F27" s="11"/>
      <c r="G27" s="13"/>
      <c r="H27" s="11"/>
      <c r="I27" s="14"/>
      <c r="J27" s="11"/>
      <c r="K27" s="13"/>
      <c r="L27" s="11"/>
      <c r="M27" s="14"/>
      <c r="N27" s="11"/>
      <c r="O27" s="13"/>
      <c r="P27" s="11"/>
      <c r="Q27" s="14"/>
      <c r="R27" s="11"/>
      <c r="S27" s="13"/>
      <c r="T27" s="11"/>
      <c r="U27" s="14"/>
      <c r="V27" s="11"/>
      <c r="W27" s="13"/>
      <c r="X27" s="11"/>
      <c r="Y27" s="14"/>
      <c r="AE27" s="16" t="s">
        <v>70</v>
      </c>
      <c r="AF27" s="58">
        <f>E34</f>
        <v>0</v>
      </c>
      <c r="AG27" s="58">
        <f>I34</f>
        <v>0</v>
      </c>
      <c r="AH27" s="58">
        <f>M34</f>
        <v>0</v>
      </c>
      <c r="AI27" s="58">
        <f>Q34</f>
        <v>0</v>
      </c>
      <c r="AJ27" s="58">
        <f>U34</f>
        <v>0</v>
      </c>
      <c r="AK27" s="58">
        <f>Y34</f>
        <v>0</v>
      </c>
      <c r="AM27" s="27"/>
      <c r="AO27" s="27"/>
    </row>
    <row r="28" spans="1:41" ht="12" customHeight="1">
      <c r="A28" s="17" t="s">
        <v>59</v>
      </c>
      <c r="B28" s="11"/>
      <c r="C28" s="13"/>
      <c r="D28" s="11"/>
      <c r="E28" s="14"/>
      <c r="F28" s="11"/>
      <c r="G28" s="13"/>
      <c r="H28" s="11"/>
      <c r="I28" s="14"/>
      <c r="J28" s="11"/>
      <c r="K28" s="13"/>
      <c r="L28" s="11"/>
      <c r="M28" s="14"/>
      <c r="N28" s="11"/>
      <c r="O28" s="13"/>
      <c r="P28" s="11"/>
      <c r="Q28" s="14"/>
      <c r="R28" s="11"/>
      <c r="S28" s="13"/>
      <c r="T28" s="11"/>
      <c r="U28" s="14"/>
      <c r="V28" s="11"/>
      <c r="W28" s="13"/>
      <c r="X28" s="11"/>
      <c r="Y28" s="14"/>
      <c r="AE28" s="16" t="s">
        <v>71</v>
      </c>
      <c r="AF28" s="59"/>
      <c r="AG28" s="59"/>
      <c r="AH28" s="59"/>
      <c r="AI28" s="59"/>
      <c r="AJ28" s="59"/>
      <c r="AK28" s="59"/>
      <c r="AM28" s="27"/>
      <c r="AO28" s="27"/>
    </row>
    <row r="29" spans="1:41" ht="12" customHeight="1" thickBot="1">
      <c r="A29" s="17" t="s">
        <v>60</v>
      </c>
      <c r="B29" s="11"/>
      <c r="C29" s="13"/>
      <c r="D29" s="11"/>
      <c r="E29" s="14"/>
      <c r="F29" s="11"/>
      <c r="G29" s="13"/>
      <c r="H29" s="11"/>
      <c r="I29" s="14"/>
      <c r="J29" s="11"/>
      <c r="K29" s="13"/>
      <c r="L29" s="11"/>
      <c r="M29" s="14"/>
      <c r="N29" s="11"/>
      <c r="O29" s="13"/>
      <c r="P29" s="11"/>
      <c r="Q29" s="14"/>
      <c r="R29" s="11"/>
      <c r="S29" s="13"/>
      <c r="T29" s="11"/>
      <c r="U29" s="14"/>
      <c r="V29" s="11"/>
      <c r="W29" s="13"/>
      <c r="X29" s="11"/>
      <c r="Y29" s="14"/>
      <c r="AE29" s="16" t="s">
        <v>72</v>
      </c>
      <c r="AF29" s="60"/>
      <c r="AG29" s="60"/>
      <c r="AH29" s="60"/>
      <c r="AI29" s="60"/>
      <c r="AJ29" s="60"/>
      <c r="AK29" s="60"/>
      <c r="AM29" s="27"/>
      <c r="AO29" s="27"/>
    </row>
    <row r="30" spans="1:41" ht="12" customHeight="1" thickBot="1">
      <c r="A30" s="17" t="s">
        <v>61</v>
      </c>
      <c r="B30" s="11"/>
      <c r="C30" s="13"/>
      <c r="D30" s="11"/>
      <c r="E30" s="14"/>
      <c r="F30" s="11"/>
      <c r="G30" s="13"/>
      <c r="H30" s="11"/>
      <c r="I30" s="14"/>
      <c r="J30" s="11"/>
      <c r="K30" s="13"/>
      <c r="L30" s="11"/>
      <c r="M30" s="14"/>
      <c r="N30" s="11"/>
      <c r="O30" s="13"/>
      <c r="P30" s="11"/>
      <c r="Q30" s="14"/>
      <c r="R30" s="11"/>
      <c r="S30" s="13"/>
      <c r="T30" s="11"/>
      <c r="U30" s="14"/>
      <c r="V30" s="11"/>
      <c r="W30" s="13"/>
      <c r="X30" s="11"/>
      <c r="Y30" s="14"/>
      <c r="AE30" s="25" t="s">
        <v>4</v>
      </c>
      <c r="AF30" s="64"/>
      <c r="AG30" s="53"/>
      <c r="AH30" s="2"/>
      <c r="AJ30" s="2"/>
      <c r="AM30" s="27"/>
      <c r="AO30" s="27"/>
    </row>
    <row r="31" spans="2:41" ht="12" customHeight="1" thickBot="1">
      <c r="B31" s="11"/>
      <c r="C31" s="11"/>
      <c r="D31" s="11"/>
      <c r="E31" s="14"/>
      <c r="F31" s="11"/>
      <c r="G31" s="13"/>
      <c r="H31" s="11"/>
      <c r="I31" s="14"/>
      <c r="J31" s="11"/>
      <c r="K31" s="13"/>
      <c r="L31" s="11"/>
      <c r="M31" s="14"/>
      <c r="N31" s="11"/>
      <c r="O31" s="13"/>
      <c r="P31" s="11"/>
      <c r="Q31" s="14"/>
      <c r="R31" s="11"/>
      <c r="S31" s="13"/>
      <c r="T31" s="11"/>
      <c r="U31" s="14"/>
      <c r="V31" s="11"/>
      <c r="W31" s="13"/>
      <c r="X31" s="11"/>
      <c r="Y31" s="14"/>
      <c r="AD31" s="2"/>
      <c r="AE31" s="16" t="s">
        <v>78</v>
      </c>
      <c r="AF31">
        <f>$AF$44</f>
        <v>0</v>
      </c>
      <c r="AJ31" s="2"/>
      <c r="AM31" s="27"/>
      <c r="AO31" s="27"/>
    </row>
    <row r="32" spans="1:41" ht="12" customHeight="1">
      <c r="A32" s="2" t="s">
        <v>62</v>
      </c>
      <c r="B32" s="11"/>
      <c r="C32" s="11"/>
      <c r="D32" s="11"/>
      <c r="E32" s="14"/>
      <c r="F32" s="11"/>
      <c r="G32" s="13"/>
      <c r="H32" s="11"/>
      <c r="I32" s="14"/>
      <c r="J32" s="11"/>
      <c r="K32" s="13"/>
      <c r="L32" s="11"/>
      <c r="M32" s="14"/>
      <c r="N32" s="11"/>
      <c r="O32" s="13"/>
      <c r="P32" s="11"/>
      <c r="Q32" s="14"/>
      <c r="R32" s="11"/>
      <c r="S32" s="13"/>
      <c r="T32" s="11"/>
      <c r="U32" s="14"/>
      <c r="V32" s="11"/>
      <c r="W32" s="13"/>
      <c r="X32" s="11"/>
      <c r="Y32" s="14"/>
      <c r="AE32" s="32" t="s">
        <v>11</v>
      </c>
      <c r="AF32" s="33"/>
      <c r="AG32" s="33"/>
      <c r="AH32" s="33"/>
      <c r="AI32" s="33"/>
      <c r="AJ32" s="33"/>
      <c r="AK32" s="33"/>
      <c r="AO32" s="27"/>
    </row>
    <row r="33" spans="1:41" ht="12" customHeight="1" thickBot="1">
      <c r="A33" s="17" t="s">
        <v>69</v>
      </c>
      <c r="B33" s="19"/>
      <c r="C33" s="20"/>
      <c r="D33" s="19"/>
      <c r="E33" s="21"/>
      <c r="F33" s="19"/>
      <c r="G33" s="20"/>
      <c r="H33" s="19"/>
      <c r="I33" s="21"/>
      <c r="J33" s="19"/>
      <c r="K33" s="20"/>
      <c r="L33" s="19"/>
      <c r="M33" s="21"/>
      <c r="N33" s="19"/>
      <c r="O33" s="20"/>
      <c r="P33" s="19"/>
      <c r="Q33" s="21"/>
      <c r="R33" s="19"/>
      <c r="S33" s="20"/>
      <c r="T33" s="19"/>
      <c r="U33" s="21"/>
      <c r="V33" s="19"/>
      <c r="W33" s="20"/>
      <c r="X33" s="19"/>
      <c r="Y33" s="21"/>
      <c r="AE33" s="69" t="s">
        <v>12</v>
      </c>
      <c r="AF33" s="20">
        <f aca="true" t="shared" si="7" ref="AF33:AK33">AF27*AF32</f>
        <v>0</v>
      </c>
      <c r="AG33" s="20">
        <f t="shared" si="7"/>
        <v>0</v>
      </c>
      <c r="AH33" s="20">
        <f t="shared" si="7"/>
        <v>0</v>
      </c>
      <c r="AI33" s="20">
        <f t="shared" si="7"/>
        <v>0</v>
      </c>
      <c r="AJ33" s="20">
        <f t="shared" si="7"/>
        <v>0</v>
      </c>
      <c r="AK33" s="20">
        <f t="shared" si="7"/>
        <v>0</v>
      </c>
      <c r="AO33" s="27"/>
    </row>
    <row r="34" spans="1:41" ht="12" customHeight="1" thickBot="1">
      <c r="A34" s="2" t="s">
        <v>70</v>
      </c>
      <c r="B34" s="47"/>
      <c r="C34" s="47"/>
      <c r="D34" s="48"/>
      <c r="E34" s="23">
        <f>SUM(E8:E14,E16,E18,E20,E22,E25:E30,E33)</f>
        <v>0</v>
      </c>
      <c r="F34" s="46"/>
      <c r="G34" s="47"/>
      <c r="H34" s="48"/>
      <c r="I34" s="23">
        <f>SUM(I8:I14,I16,I18,I20,I22,I25:I30,I33)</f>
        <v>0</v>
      </c>
      <c r="J34" s="46"/>
      <c r="K34" s="47"/>
      <c r="L34" s="48"/>
      <c r="M34" s="23">
        <f>SUM(M8:M14,M16,M18,M20,M22,M25:M30,M33)</f>
        <v>0</v>
      </c>
      <c r="N34" s="46"/>
      <c r="O34" s="49"/>
      <c r="P34" s="48"/>
      <c r="Q34" s="23">
        <f>SUM(Q8:Q14,Q16,Q18,Q20,Q22,Q25:Q30,Q33)</f>
        <v>0</v>
      </c>
      <c r="R34" s="50"/>
      <c r="S34" s="51"/>
      <c r="T34" s="52"/>
      <c r="U34" s="23">
        <f>SUM(U8:U14,U16,U18,U20,U22,U25:U30,U33)</f>
        <v>0</v>
      </c>
      <c r="V34" s="50"/>
      <c r="W34" s="51"/>
      <c r="X34" s="52"/>
      <c r="Y34" s="24">
        <f>SUM(Y8:Y14,Y16,Y18,Y20,Y22,Y25:Y30,Y33)</f>
        <v>0</v>
      </c>
      <c r="AE34" s="69" t="s">
        <v>13</v>
      </c>
      <c r="AF34" s="61">
        <f>SUM(AF33,AG33,AH33,AI33,AJ33,AK33)</f>
        <v>0</v>
      </c>
      <c r="AG34" s="35"/>
      <c r="AH34" s="35"/>
      <c r="AI34" s="35"/>
      <c r="AJ34" s="35"/>
      <c r="AK34" s="35"/>
      <c r="AM34" s="8"/>
      <c r="AO34" s="27"/>
    </row>
    <row r="35" spans="1:41" ht="12" customHeight="1" thickBot="1">
      <c r="A35" s="2" t="s">
        <v>71</v>
      </c>
      <c r="B35" s="47"/>
      <c r="C35" s="47"/>
      <c r="D35" s="48"/>
      <c r="E35" s="23"/>
      <c r="F35" s="46"/>
      <c r="G35" s="47"/>
      <c r="H35" s="48"/>
      <c r="I35" s="23"/>
      <c r="J35" s="46"/>
      <c r="K35" s="47"/>
      <c r="L35" s="48"/>
      <c r="M35" s="23"/>
      <c r="N35" s="46"/>
      <c r="O35" s="49"/>
      <c r="P35" s="48"/>
      <c r="Q35" s="23"/>
      <c r="R35" s="46"/>
      <c r="S35" s="49"/>
      <c r="T35" s="48"/>
      <c r="U35" s="23"/>
      <c r="V35" s="46"/>
      <c r="W35" s="49"/>
      <c r="X35" s="48"/>
      <c r="Y35" s="24"/>
      <c r="AE35" s="69" t="s">
        <v>14</v>
      </c>
      <c r="AF35" s="36">
        <f aca="true" t="shared" si="8" ref="AF35:AK35">AF32*AF28</f>
        <v>0</v>
      </c>
      <c r="AG35" s="36">
        <f t="shared" si="8"/>
        <v>0</v>
      </c>
      <c r="AH35" s="36">
        <f t="shared" si="8"/>
        <v>0</v>
      </c>
      <c r="AI35" s="36">
        <f t="shared" si="8"/>
        <v>0</v>
      </c>
      <c r="AJ35" s="36">
        <f t="shared" si="8"/>
        <v>0</v>
      </c>
      <c r="AK35" s="36">
        <f t="shared" si="8"/>
        <v>0</v>
      </c>
      <c r="AM35" s="15"/>
      <c r="AO35" s="27"/>
    </row>
    <row r="36" spans="1:41" ht="12" customHeight="1" thickBot="1">
      <c r="A36" s="2" t="s">
        <v>72</v>
      </c>
      <c r="B36" s="47"/>
      <c r="C36" s="47"/>
      <c r="D36" s="48"/>
      <c r="E36" s="23"/>
      <c r="F36" s="46"/>
      <c r="G36" s="47"/>
      <c r="H36" s="48"/>
      <c r="I36" s="23"/>
      <c r="J36" s="46"/>
      <c r="K36" s="47"/>
      <c r="L36" s="48"/>
      <c r="M36" s="23"/>
      <c r="N36" s="46"/>
      <c r="O36" s="49"/>
      <c r="P36" s="48"/>
      <c r="Q36" s="23"/>
      <c r="R36" s="46"/>
      <c r="S36" s="49"/>
      <c r="T36" s="48"/>
      <c r="U36" s="23"/>
      <c r="V36" s="46"/>
      <c r="W36" s="49"/>
      <c r="X36" s="48"/>
      <c r="Y36" s="24"/>
      <c r="AE36" s="69" t="s">
        <v>15</v>
      </c>
      <c r="AF36" s="62">
        <f>SUM(AF35,AG35,AH35,AI35,AJ35,AK35)</f>
        <v>0</v>
      </c>
      <c r="AG36" s="35"/>
      <c r="AH36" s="35"/>
      <c r="AI36" s="35"/>
      <c r="AJ36" s="35"/>
      <c r="AK36" s="35"/>
      <c r="AM36" s="35"/>
      <c r="AO36" s="27"/>
    </row>
    <row r="37" spans="1:41" ht="12" customHeight="1" thickBot="1">
      <c r="A37" s="2"/>
      <c r="O37" s="22"/>
      <c r="AE37" s="16" t="s">
        <v>79</v>
      </c>
      <c r="AF37" s="63"/>
      <c r="AG37" s="35"/>
      <c r="AK37" s="35"/>
      <c r="AM37" s="15"/>
      <c r="AO37" s="27"/>
    </row>
    <row r="38" spans="1:41" ht="12.75" thickBot="1">
      <c r="A38" s="2"/>
      <c r="O38" s="22"/>
      <c r="AE38" s="16" t="s">
        <v>81</v>
      </c>
      <c r="AF38" s="38"/>
      <c r="AG38" s="15"/>
      <c r="AK38" s="15"/>
      <c r="AL38" s="35"/>
      <c r="AM38" s="35"/>
      <c r="AO38" s="27"/>
    </row>
    <row r="39" spans="1:39" ht="12" customHeight="1" thickBot="1">
      <c r="A39" s="2"/>
      <c r="AE39" s="16" t="s">
        <v>82</v>
      </c>
      <c r="AF39" s="31"/>
      <c r="AL39" s="35"/>
      <c r="AM39" s="35"/>
    </row>
    <row r="40" spans="1:39" ht="12" customHeight="1" thickBot="1">
      <c r="A40" s="2"/>
      <c r="AE40" s="29" t="s">
        <v>83</v>
      </c>
      <c r="AF40" s="40"/>
      <c r="AL40" s="2"/>
      <c r="AM40" s="15"/>
    </row>
    <row r="41" spans="31:41" ht="12" customHeight="1" thickBot="1">
      <c r="AE41" s="17" t="s">
        <v>84</v>
      </c>
      <c r="AF41" s="41"/>
      <c r="AL41" s="2"/>
      <c r="AO41" s="8"/>
    </row>
    <row r="42" spans="31:41" ht="12.75" thickBot="1">
      <c r="AE42" s="17" t="s">
        <v>85</v>
      </c>
      <c r="AF42" s="36"/>
      <c r="AL42" s="2"/>
      <c r="AO42" s="15"/>
    </row>
    <row r="43" spans="31:41" ht="12.75" thickBot="1">
      <c r="AE43" s="17" t="s">
        <v>86</v>
      </c>
      <c r="AF43" s="42"/>
      <c r="AL43" s="2"/>
      <c r="AO43" s="35"/>
    </row>
    <row r="44" spans="31:41" ht="12" customHeight="1" thickBot="1">
      <c r="AE44" s="16" t="s">
        <v>87</v>
      </c>
      <c r="AF44" s="70"/>
      <c r="AL44" s="2"/>
      <c r="AO44" s="15"/>
    </row>
    <row r="45" spans="21:44" ht="12" customHeight="1" thickBot="1">
      <c r="U45" s="10"/>
      <c r="AE45" s="17" t="s">
        <v>88</v>
      </c>
      <c r="AF45" s="42"/>
      <c r="AL45" s="2"/>
      <c r="AN45" s="35"/>
      <c r="AO45" s="35"/>
      <c r="AP45" s="35"/>
      <c r="AQ45" s="35"/>
      <c r="AR45" s="35"/>
    </row>
    <row r="46" spans="21:44" ht="12" customHeight="1" thickBot="1">
      <c r="U46" s="1"/>
      <c r="AE46" s="17" t="s">
        <v>89</v>
      </c>
      <c r="AF46" s="42"/>
      <c r="AL46" s="2"/>
      <c r="AN46" s="35"/>
      <c r="AO46" s="35"/>
      <c r="AP46" s="35"/>
      <c r="AQ46" s="35"/>
      <c r="AR46" s="35"/>
    </row>
    <row r="47" spans="21:44" ht="12" customHeight="1" thickBot="1">
      <c r="U47" s="1"/>
      <c r="AE47" s="17" t="s">
        <v>6</v>
      </c>
      <c r="AF47" s="42"/>
      <c r="AL47" s="2"/>
      <c r="AN47" s="15"/>
      <c r="AO47" s="15"/>
      <c r="AP47" s="35"/>
      <c r="AQ47" s="15"/>
      <c r="AR47" s="15"/>
    </row>
    <row r="48" spans="21:42" ht="12" customHeight="1" thickBot="1">
      <c r="U48" s="1"/>
      <c r="AE48" s="17" t="s">
        <v>7</v>
      </c>
      <c r="AF48" s="65"/>
      <c r="AL48" s="2"/>
      <c r="AP48" s="2"/>
    </row>
    <row r="49" spans="21:42" ht="12" customHeight="1" thickBot="1">
      <c r="U49" s="1"/>
      <c r="AE49" s="17" t="s">
        <v>8</v>
      </c>
      <c r="AF49" s="65"/>
      <c r="AL49" s="2"/>
      <c r="AP49" s="2"/>
    </row>
    <row r="50" spans="21:42" ht="12" customHeight="1" thickBot="1">
      <c r="U50" s="1"/>
      <c r="AE50" s="17" t="s">
        <v>9</v>
      </c>
      <c r="AF50" s="65"/>
      <c r="AL50" s="2"/>
      <c r="AP50" s="2"/>
    </row>
    <row r="51" spans="21:42" ht="12" customHeight="1" thickBot="1">
      <c r="U51" s="1"/>
      <c r="AE51" s="17" t="s">
        <v>20</v>
      </c>
      <c r="AF51" s="65"/>
      <c r="AH51" s="2"/>
      <c r="AL51" s="2"/>
      <c r="AP51" s="2"/>
    </row>
    <row r="52" spans="31:42" ht="12" customHeight="1" thickBot="1">
      <c r="AE52" s="17" t="s">
        <v>21</v>
      </c>
      <c r="AF52" s="65"/>
      <c r="AH52" s="2"/>
      <c r="AL52" s="2"/>
      <c r="AP52" s="2"/>
    </row>
    <row r="53" spans="31:42" ht="12" customHeight="1" thickBot="1">
      <c r="AE53" s="17" t="s">
        <v>22</v>
      </c>
      <c r="AF53" s="43"/>
      <c r="AH53" s="2"/>
      <c r="AL53" s="2"/>
      <c r="AP53" s="2"/>
    </row>
    <row r="54" spans="31:42" ht="12" customHeight="1" thickBot="1">
      <c r="AE54" s="17" t="s">
        <v>23</v>
      </c>
      <c r="AF54" s="65"/>
      <c r="AH54" s="2"/>
      <c r="AL54" s="2"/>
      <c r="AP54" s="2"/>
    </row>
    <row r="55" spans="31:42" ht="12" customHeight="1" thickBot="1">
      <c r="AE55" s="17" t="s">
        <v>24</v>
      </c>
      <c r="AF55" s="44"/>
      <c r="AH55" s="2"/>
      <c r="AL55" s="2"/>
      <c r="AP55" s="2"/>
    </row>
    <row r="56" spans="34:42" ht="12" customHeight="1">
      <c r="AH56" s="2"/>
      <c r="AL56" s="2"/>
      <c r="AP56" s="2"/>
    </row>
    <row r="57" spans="33:42" ht="12" customHeight="1">
      <c r="AG57" s="37"/>
      <c r="AH57" s="35"/>
      <c r="AI57" s="35"/>
      <c r="AL57" s="2"/>
      <c r="AP57" s="2"/>
    </row>
    <row r="58" spans="33:42" ht="12" customHeight="1">
      <c r="AG58" s="22"/>
      <c r="AH58" s="22"/>
      <c r="AI58" s="72"/>
      <c r="AL58" s="2"/>
      <c r="AP58" s="2"/>
    </row>
    <row r="59" spans="33:42" ht="12" customHeight="1">
      <c r="AG59" s="39"/>
      <c r="AH59" s="22"/>
      <c r="AL59" s="2"/>
      <c r="AP59" s="2"/>
    </row>
    <row r="60" spans="33:42" ht="12" customHeight="1">
      <c r="AG60" s="22"/>
      <c r="AH60" s="22"/>
      <c r="AJ60" s="45"/>
      <c r="AL60" s="2"/>
      <c r="AP60" s="2"/>
    </row>
    <row r="61" spans="33:42" ht="12" customHeight="1">
      <c r="AG61" s="22"/>
      <c r="AH61" s="22"/>
      <c r="AL61" s="2"/>
      <c r="AP61" s="2"/>
    </row>
    <row r="62" spans="33:42" ht="12" customHeight="1">
      <c r="AG62" s="22"/>
      <c r="AH62" s="22"/>
      <c r="AL62" s="2"/>
      <c r="AP62" s="2"/>
    </row>
    <row r="63" spans="33:42" ht="12" customHeight="1">
      <c r="AG63" s="22"/>
      <c r="AH63" s="22"/>
      <c r="AJ63" s="27"/>
      <c r="AL63" s="2"/>
      <c r="AP63" s="2"/>
    </row>
    <row r="64" spans="33:42" ht="12" customHeight="1">
      <c r="AG64" s="30"/>
      <c r="AJ64" s="27"/>
      <c r="AL64" s="2"/>
      <c r="AP64" s="2"/>
    </row>
    <row r="65" spans="33:42" ht="12" customHeight="1">
      <c r="AG65" s="30"/>
      <c r="AH65" s="22"/>
      <c r="AJ65" s="27"/>
      <c r="AL65" s="2"/>
      <c r="AP65" s="2"/>
    </row>
    <row r="66" spans="33:42" ht="12" customHeight="1">
      <c r="AG66" s="30"/>
      <c r="AH66" s="22"/>
      <c r="AL66" s="2"/>
      <c r="AP66" s="2"/>
    </row>
    <row r="67" spans="33:42" ht="12" customHeight="1">
      <c r="AG67" s="30"/>
      <c r="AH67" s="22"/>
      <c r="AL67" s="2"/>
      <c r="AP67" s="2"/>
    </row>
    <row r="68" spans="33:42" ht="12" customHeight="1">
      <c r="AG68" s="30"/>
      <c r="AH68" s="22"/>
      <c r="AL68" s="2"/>
      <c r="AP68" s="2"/>
    </row>
    <row r="69" spans="33:42" ht="12" customHeight="1">
      <c r="AG69" s="30"/>
      <c r="AH69" s="22"/>
      <c r="AP69" s="2"/>
    </row>
    <row r="70" spans="31:42" ht="12" customHeight="1">
      <c r="AE70" s="8"/>
      <c r="AF70" s="8"/>
      <c r="AG70" s="2"/>
      <c r="AJ70" s="8"/>
      <c r="AK70" s="8"/>
      <c r="AP70" s="2"/>
    </row>
    <row r="71" ht="12" customHeight="1">
      <c r="AP71" s="2"/>
    </row>
    <row r="72" spans="30:42" ht="12" customHeight="1">
      <c r="AD72" s="8"/>
      <c r="AL72" s="8"/>
      <c r="AM72" s="8"/>
      <c r="AP72" s="2"/>
    </row>
    <row r="73" ht="13.5" customHeight="1">
      <c r="AP73" s="2"/>
    </row>
    <row r="74" ht="12" customHeight="1">
      <c r="AP74" s="2"/>
    </row>
    <row r="75" ht="12" customHeight="1">
      <c r="AP75" s="2"/>
    </row>
    <row r="76" ht="12" customHeight="1"/>
    <row r="77" ht="12" customHeight="1"/>
    <row r="78" ht="12" customHeight="1"/>
    <row r="79" spans="17:39" s="8" customFormat="1" ht="12" customHeight="1">
      <c r="Q79" s="34"/>
      <c r="U79" s="34"/>
      <c r="Y79" s="34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mergeCells count="25">
    <mergeCell ref="Y4:Y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" right="0.3" top="0.7" bottom="0.7" header="0.5" footer="0.5"/>
  <pageSetup orientation="landscape" paperSize="9" scale="75"/>
  <headerFooter alignWithMargins="0">
    <oddHeader>&amp;LPLB&amp;CAmDjenaSensibilite.xls&amp;R&amp;D, &amp;T</oddHeader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8" sqref="F38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9" sqref="G39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8" sqref="G38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9"/>
  <sheetViews>
    <sheetView workbookViewId="0" topLeftCell="A2">
      <selection activeCell="G26" sqref="G26"/>
    </sheetView>
  </sheetViews>
  <sheetFormatPr defaultColWidth="11.5546875" defaultRowHeight="15.75" customHeight="1"/>
  <cols>
    <col min="1" max="1" width="30.6640625" style="73" customWidth="1"/>
    <col min="2" max="2" width="5.6640625" style="73" customWidth="1"/>
    <col min="3" max="3" width="11.99609375" style="73" customWidth="1"/>
    <col min="4" max="4" width="8.99609375" style="73" customWidth="1"/>
    <col min="5" max="5" width="10.4453125" style="74" customWidth="1"/>
    <col min="6" max="6" width="5.4453125" style="73" customWidth="1"/>
    <col min="7" max="7" width="9.88671875" style="73" customWidth="1"/>
    <col min="8" max="8" width="9.4453125" style="73" customWidth="1"/>
    <col min="9" max="9" width="9.88671875" style="74" customWidth="1"/>
    <col min="10" max="10" width="5.4453125" style="73" customWidth="1"/>
    <col min="11" max="11" width="9.88671875" style="73" customWidth="1"/>
    <col min="12" max="12" width="7.99609375" style="73" customWidth="1"/>
    <col min="13" max="13" width="9.88671875" style="74" customWidth="1"/>
    <col min="14" max="14" width="5.4453125" style="73" customWidth="1"/>
    <col min="15" max="15" width="9.88671875" style="73" customWidth="1"/>
    <col min="16" max="16" width="8.5546875" style="73" customWidth="1"/>
    <col min="17" max="17" width="9.88671875" style="74" customWidth="1"/>
    <col min="18" max="18" width="5.6640625" style="73" customWidth="1"/>
    <col min="19" max="19" width="9.5546875" style="73" customWidth="1"/>
    <col min="20" max="20" width="8.99609375" style="73" customWidth="1"/>
    <col min="21" max="21" width="9.88671875" style="74" customWidth="1"/>
    <col min="22" max="22" width="6.10546875" style="73" customWidth="1"/>
    <col min="23" max="23" width="8.88671875" style="73" customWidth="1"/>
    <col min="24" max="24" width="8.5546875" style="73" customWidth="1"/>
    <col min="25" max="25" width="9.88671875" style="74" customWidth="1"/>
    <col min="26" max="26" width="7.10546875" style="73" customWidth="1"/>
    <col min="27" max="31" width="10.6640625" style="73" customWidth="1"/>
    <col min="32" max="32" width="22.6640625" style="73" customWidth="1"/>
    <col min="33" max="33" width="10.6640625" style="73" customWidth="1"/>
    <col min="34" max="34" width="14.5546875" style="73" customWidth="1"/>
    <col min="35" max="37" width="14.10546875" style="73" bestFit="1" customWidth="1"/>
    <col min="38" max="39" width="13.99609375" style="73" bestFit="1" customWidth="1"/>
    <col min="40" max="16384" width="10.6640625" style="73" customWidth="1"/>
  </cols>
  <sheetData>
    <row r="1" spans="1:38" s="79" customFormat="1" ht="15.75" customHeight="1" thickBot="1">
      <c r="A1" s="73"/>
      <c r="B1" s="73"/>
      <c r="C1" s="73"/>
      <c r="D1" s="73"/>
      <c r="E1" s="74"/>
      <c r="F1" s="73"/>
      <c r="G1" s="73"/>
      <c r="H1" s="73"/>
      <c r="I1" s="74"/>
      <c r="J1" s="73"/>
      <c r="K1" s="73"/>
      <c r="L1" s="73"/>
      <c r="M1" s="74"/>
      <c r="N1" s="73"/>
      <c r="O1" s="73"/>
      <c r="P1" s="73"/>
      <c r="Q1" s="74"/>
      <c r="R1" s="73"/>
      <c r="S1" s="73"/>
      <c r="T1" s="73"/>
      <c r="U1" s="74"/>
      <c r="V1" s="73"/>
      <c r="W1" s="73"/>
      <c r="X1" s="73"/>
      <c r="Y1" s="74"/>
      <c r="Z1" s="73"/>
      <c r="AA1" s="73"/>
      <c r="AB1" s="73"/>
      <c r="AC1" s="73"/>
      <c r="AD1" s="73"/>
      <c r="AE1" s="73"/>
      <c r="AF1" s="73"/>
      <c r="AG1" s="73"/>
      <c r="AH1" s="75"/>
      <c r="AI1" s="76"/>
      <c r="AJ1" s="77" t="s">
        <v>3</v>
      </c>
      <c r="AK1" s="76"/>
      <c r="AL1" s="78"/>
    </row>
    <row r="2" spans="1:41" ht="15.75" customHeight="1" thickBot="1">
      <c r="A2" s="79"/>
      <c r="B2" s="79"/>
      <c r="C2" s="80"/>
      <c r="D2" s="81"/>
      <c r="E2" s="82" t="s">
        <v>25</v>
      </c>
      <c r="F2" s="81"/>
      <c r="G2" s="82"/>
      <c r="H2" s="83"/>
      <c r="K2" s="84"/>
      <c r="O2" s="84"/>
      <c r="S2" s="84"/>
      <c r="W2" s="84"/>
      <c r="AG2" s="85" t="s">
        <v>26</v>
      </c>
      <c r="AH2" s="86">
        <v>0</v>
      </c>
      <c r="AI2" s="86">
        <v>1</v>
      </c>
      <c r="AJ2" s="86">
        <v>2</v>
      </c>
      <c r="AK2" s="86">
        <v>3</v>
      </c>
      <c r="AL2" s="86">
        <v>4</v>
      </c>
      <c r="AM2" s="86">
        <v>5</v>
      </c>
      <c r="AO2" s="87"/>
    </row>
    <row r="3" spans="3:45" ht="15.75" customHeight="1" thickBot="1">
      <c r="C3" s="84"/>
      <c r="G3" s="84"/>
      <c r="K3" s="84"/>
      <c r="O3" s="84"/>
      <c r="S3" s="84"/>
      <c r="W3" s="84"/>
      <c r="AG3" s="88" t="s">
        <v>38</v>
      </c>
      <c r="AH3" s="89"/>
      <c r="AI3" s="90"/>
      <c r="AJ3" s="90"/>
      <c r="AK3" s="90"/>
      <c r="AL3" s="90"/>
      <c r="AM3" s="91"/>
      <c r="AO3" s="92"/>
      <c r="AS3" s="74"/>
    </row>
    <row r="4" spans="1:43" ht="15.75" customHeight="1">
      <c r="A4" s="222" t="s">
        <v>34</v>
      </c>
      <c r="B4" s="224" t="s">
        <v>35</v>
      </c>
      <c r="C4" s="224" t="s">
        <v>36</v>
      </c>
      <c r="D4" s="226" t="s">
        <v>10</v>
      </c>
      <c r="E4" s="227" t="s">
        <v>27</v>
      </c>
      <c r="F4" s="224" t="s">
        <v>37</v>
      </c>
      <c r="G4" s="224" t="s">
        <v>36</v>
      </c>
      <c r="H4" s="226" t="s">
        <v>10</v>
      </c>
      <c r="I4" s="227" t="s">
        <v>28</v>
      </c>
      <c r="J4" s="224" t="s">
        <v>35</v>
      </c>
      <c r="K4" s="224" t="s">
        <v>36</v>
      </c>
      <c r="L4" s="226" t="s">
        <v>10</v>
      </c>
      <c r="M4" s="227" t="s">
        <v>29</v>
      </c>
      <c r="N4" s="224" t="s">
        <v>35</v>
      </c>
      <c r="O4" s="224" t="s">
        <v>36</v>
      </c>
      <c r="P4" s="226" t="s">
        <v>10</v>
      </c>
      <c r="Q4" s="227" t="s">
        <v>30</v>
      </c>
      <c r="R4" s="224" t="s">
        <v>35</v>
      </c>
      <c r="S4" s="224" t="s">
        <v>36</v>
      </c>
      <c r="T4" s="226" t="s">
        <v>10</v>
      </c>
      <c r="U4" s="227" t="s">
        <v>31</v>
      </c>
      <c r="V4" s="224" t="s">
        <v>35</v>
      </c>
      <c r="W4" s="224" t="s">
        <v>36</v>
      </c>
      <c r="X4" s="226" t="s">
        <v>10</v>
      </c>
      <c r="Y4" s="227" t="s">
        <v>32</v>
      </c>
      <c r="AG4" s="93" t="s">
        <v>40</v>
      </c>
      <c r="AH4" s="98">
        <f aca="true" t="shared" si="0" ref="AH4:AH10">E8</f>
        <v>3000000</v>
      </c>
      <c r="AI4" s="98">
        <f aca="true" t="shared" si="1" ref="AI4:AI10">I8</f>
        <v>3000000</v>
      </c>
      <c r="AJ4" s="98">
        <f aca="true" t="shared" si="2" ref="AJ4:AJ10">M8</f>
        <v>3000000</v>
      </c>
      <c r="AK4" s="98">
        <f aca="true" t="shared" si="3" ref="AK4:AK10">Q8</f>
        <v>3000000</v>
      </c>
      <c r="AL4" s="98">
        <f aca="true" t="shared" si="4" ref="AL4:AL10">U8</f>
        <v>3000000</v>
      </c>
      <c r="AM4" s="98">
        <f aca="true" t="shared" si="5" ref="AM4:AM10">Y8</f>
        <v>3000000</v>
      </c>
      <c r="AO4" s="92"/>
      <c r="AQ4" s="87"/>
    </row>
    <row r="5" spans="1:43" ht="15.75" customHeight="1">
      <c r="A5" s="223"/>
      <c r="B5" s="225"/>
      <c r="C5" s="225"/>
      <c r="D5" s="225"/>
      <c r="E5" s="228"/>
      <c r="F5" s="225"/>
      <c r="G5" s="225"/>
      <c r="H5" s="225"/>
      <c r="I5" s="228"/>
      <c r="J5" s="225"/>
      <c r="K5" s="225"/>
      <c r="L5" s="225"/>
      <c r="M5" s="228"/>
      <c r="N5" s="225"/>
      <c r="O5" s="225"/>
      <c r="P5" s="225"/>
      <c r="Q5" s="228"/>
      <c r="R5" s="225"/>
      <c r="S5" s="225"/>
      <c r="T5" s="225"/>
      <c r="U5" s="228"/>
      <c r="V5" s="225"/>
      <c r="W5" s="225"/>
      <c r="X5" s="225"/>
      <c r="Y5" s="228"/>
      <c r="Z5" s="87"/>
      <c r="AG5" s="93" t="s">
        <v>41</v>
      </c>
      <c r="AH5" s="98">
        <f t="shared" si="0"/>
        <v>1500000</v>
      </c>
      <c r="AI5" s="98">
        <f t="shared" si="1"/>
        <v>1500000</v>
      </c>
      <c r="AJ5" s="98">
        <f t="shared" si="2"/>
        <v>1500000</v>
      </c>
      <c r="AK5" s="98">
        <f t="shared" si="3"/>
        <v>1500000</v>
      </c>
      <c r="AL5" s="98">
        <f t="shared" si="4"/>
        <v>1500000</v>
      </c>
      <c r="AM5" s="98">
        <f t="shared" si="5"/>
        <v>1500000</v>
      </c>
      <c r="AO5" s="92"/>
      <c r="AQ5" s="92"/>
    </row>
    <row r="6" spans="1:43" ht="15.75" customHeight="1">
      <c r="A6" s="74" t="s">
        <v>38</v>
      </c>
      <c r="B6" s="95"/>
      <c r="C6" s="95"/>
      <c r="D6" s="95"/>
      <c r="E6" s="96"/>
      <c r="F6" s="95"/>
      <c r="G6" s="95"/>
      <c r="H6" s="95"/>
      <c r="I6" s="96"/>
      <c r="J6" s="95"/>
      <c r="K6" s="95"/>
      <c r="L6" s="95"/>
      <c r="M6" s="96"/>
      <c r="N6" s="95"/>
      <c r="O6" s="97"/>
      <c r="P6" s="95"/>
      <c r="Q6" s="96"/>
      <c r="R6" s="95"/>
      <c r="S6" s="95"/>
      <c r="T6" s="95"/>
      <c r="U6" s="94"/>
      <c r="V6" s="95"/>
      <c r="W6" s="97"/>
      <c r="X6" s="95"/>
      <c r="Y6" s="94"/>
      <c r="AG6" s="93" t="s">
        <v>42</v>
      </c>
      <c r="AH6" s="98">
        <f t="shared" si="0"/>
        <v>1140000</v>
      </c>
      <c r="AI6" s="98">
        <f t="shared" si="1"/>
        <v>1140000</v>
      </c>
      <c r="AJ6" s="98">
        <f t="shared" si="2"/>
        <v>1140000</v>
      </c>
      <c r="AK6" s="98">
        <f t="shared" si="3"/>
        <v>1140000</v>
      </c>
      <c r="AL6" s="98">
        <f t="shared" si="4"/>
        <v>1140000</v>
      </c>
      <c r="AM6" s="98">
        <f t="shared" si="5"/>
        <v>1140000</v>
      </c>
      <c r="AO6" s="92"/>
      <c r="AQ6" s="92"/>
    </row>
    <row r="7" spans="1:43" ht="15.75" customHeight="1">
      <c r="A7" s="84" t="s">
        <v>39</v>
      </c>
      <c r="B7" s="95"/>
      <c r="C7" s="95"/>
      <c r="D7" s="95"/>
      <c r="E7" s="96"/>
      <c r="F7" s="95"/>
      <c r="G7" s="95"/>
      <c r="H7" s="95"/>
      <c r="I7" s="94"/>
      <c r="J7" s="95"/>
      <c r="K7" s="95"/>
      <c r="L7" s="95"/>
      <c r="M7" s="94"/>
      <c r="N7" s="95"/>
      <c r="O7" s="97"/>
      <c r="P7" s="95"/>
      <c r="Q7" s="94"/>
      <c r="R7" s="95"/>
      <c r="S7" s="97"/>
      <c r="T7" s="95"/>
      <c r="U7" s="94"/>
      <c r="V7" s="95"/>
      <c r="W7" s="97"/>
      <c r="X7" s="95"/>
      <c r="Y7" s="94"/>
      <c r="AG7" s="93" t="s">
        <v>43</v>
      </c>
      <c r="AH7" s="98">
        <f t="shared" si="0"/>
        <v>2100000</v>
      </c>
      <c r="AI7" s="94">
        <f t="shared" si="1"/>
        <v>0</v>
      </c>
      <c r="AJ7" s="94">
        <f t="shared" si="2"/>
        <v>0</v>
      </c>
      <c r="AK7" s="94">
        <f t="shared" si="3"/>
        <v>0</v>
      </c>
      <c r="AL7" s="94">
        <f t="shared" si="4"/>
        <v>0</v>
      </c>
      <c r="AM7" s="94">
        <f t="shared" si="5"/>
        <v>0</v>
      </c>
      <c r="AO7" s="92"/>
      <c r="AQ7" s="92"/>
    </row>
    <row r="8" spans="1:43" ht="15.75" customHeight="1">
      <c r="A8" s="93" t="s">
        <v>40</v>
      </c>
      <c r="B8" s="95">
        <v>1</v>
      </c>
      <c r="C8" s="97">
        <f>250000*$AH$51</f>
        <v>250000</v>
      </c>
      <c r="D8" s="95">
        <v>12</v>
      </c>
      <c r="E8" s="98">
        <f aca="true" t="shared" si="6" ref="E8:E14">C8*B8*D8</f>
        <v>3000000</v>
      </c>
      <c r="F8" s="95">
        <v>1</v>
      </c>
      <c r="G8" s="97">
        <f>250000*$AH$51</f>
        <v>250000</v>
      </c>
      <c r="H8" s="95">
        <v>12</v>
      </c>
      <c r="I8" s="98">
        <f aca="true" t="shared" si="7" ref="I8:I14">G8*F8*H8</f>
        <v>3000000</v>
      </c>
      <c r="J8" s="95">
        <v>1</v>
      </c>
      <c r="K8" s="97">
        <f>250000*$AH$51</f>
        <v>250000</v>
      </c>
      <c r="L8" s="95">
        <v>12</v>
      </c>
      <c r="M8" s="98">
        <f aca="true" t="shared" si="8" ref="M8:M14">K8*J8*L8</f>
        <v>3000000</v>
      </c>
      <c r="N8" s="95">
        <v>1</v>
      </c>
      <c r="O8" s="97">
        <f>250000*$AH$51</f>
        <v>250000</v>
      </c>
      <c r="P8" s="95">
        <v>12</v>
      </c>
      <c r="Q8" s="98">
        <f aca="true" t="shared" si="9" ref="Q8:Q14">O8*N8*P8</f>
        <v>3000000</v>
      </c>
      <c r="R8" s="95">
        <v>1</v>
      </c>
      <c r="S8" s="97">
        <f>250000*$AH$51</f>
        <v>250000</v>
      </c>
      <c r="T8" s="95">
        <v>12</v>
      </c>
      <c r="U8" s="98">
        <f aca="true" t="shared" si="10" ref="U8:U14">S8*R8*T8</f>
        <v>3000000</v>
      </c>
      <c r="V8" s="95">
        <v>1</v>
      </c>
      <c r="W8" s="97">
        <f>250000*$AH$51</f>
        <v>250000</v>
      </c>
      <c r="X8" s="95">
        <v>12</v>
      </c>
      <c r="Y8" s="98">
        <f aca="true" t="shared" si="11" ref="Y8:Y14">W8*V8*X8</f>
        <v>3000000</v>
      </c>
      <c r="AG8" s="93" t="s">
        <v>44</v>
      </c>
      <c r="AH8" s="98">
        <f t="shared" si="0"/>
        <v>4200000</v>
      </c>
      <c r="AI8" s="98">
        <f t="shared" si="1"/>
        <v>4200000</v>
      </c>
      <c r="AJ8" s="98">
        <f t="shared" si="2"/>
        <v>4200000</v>
      </c>
      <c r="AK8" s="94">
        <f t="shared" si="3"/>
        <v>0</v>
      </c>
      <c r="AL8" s="94">
        <f t="shared" si="4"/>
        <v>0</v>
      </c>
      <c r="AM8" s="94">
        <f t="shared" si="5"/>
        <v>0</v>
      </c>
      <c r="AO8" s="92"/>
      <c r="AQ8" s="92"/>
    </row>
    <row r="9" spans="1:43" ht="15.75" customHeight="1">
      <c r="A9" s="93" t="s">
        <v>41</v>
      </c>
      <c r="B9" s="95">
        <v>1</v>
      </c>
      <c r="C9" s="97">
        <f>125000*$AH$51</f>
        <v>125000</v>
      </c>
      <c r="D9" s="95">
        <v>12</v>
      </c>
      <c r="E9" s="98">
        <f t="shared" si="6"/>
        <v>1500000</v>
      </c>
      <c r="F9" s="95">
        <v>1</v>
      </c>
      <c r="G9" s="97">
        <f>125000*$AH$51</f>
        <v>125000</v>
      </c>
      <c r="H9" s="95">
        <v>12</v>
      </c>
      <c r="I9" s="98">
        <f t="shared" si="7"/>
        <v>1500000</v>
      </c>
      <c r="J9" s="95">
        <v>1</v>
      </c>
      <c r="K9" s="97">
        <f>125000*$AH$51</f>
        <v>125000</v>
      </c>
      <c r="L9" s="95">
        <v>12</v>
      </c>
      <c r="M9" s="98">
        <f t="shared" si="8"/>
        <v>1500000</v>
      </c>
      <c r="N9" s="95">
        <v>1</v>
      </c>
      <c r="O9" s="97">
        <f>125000*$AH$51</f>
        <v>125000</v>
      </c>
      <c r="P9" s="95">
        <v>12</v>
      </c>
      <c r="Q9" s="98">
        <f t="shared" si="9"/>
        <v>1500000</v>
      </c>
      <c r="R9" s="95">
        <v>1</v>
      </c>
      <c r="S9" s="97">
        <f>125000*$AH$51</f>
        <v>125000</v>
      </c>
      <c r="T9" s="95">
        <v>12</v>
      </c>
      <c r="U9" s="98">
        <f t="shared" si="10"/>
        <v>1500000</v>
      </c>
      <c r="V9" s="95">
        <v>1</v>
      </c>
      <c r="W9" s="97">
        <f>125000*$AH$51</f>
        <v>125000</v>
      </c>
      <c r="X9" s="95">
        <v>12</v>
      </c>
      <c r="Y9" s="98">
        <f t="shared" si="11"/>
        <v>1500000</v>
      </c>
      <c r="AG9" s="93" t="s">
        <v>45</v>
      </c>
      <c r="AH9" s="98">
        <f t="shared" si="0"/>
        <v>1500000</v>
      </c>
      <c r="AI9" s="98">
        <f t="shared" si="1"/>
        <v>1500000</v>
      </c>
      <c r="AJ9" s="98">
        <f t="shared" si="2"/>
        <v>1500000</v>
      </c>
      <c r="AK9" s="98">
        <f t="shared" si="3"/>
        <v>1500000</v>
      </c>
      <c r="AL9" s="98">
        <f t="shared" si="4"/>
        <v>1500000</v>
      </c>
      <c r="AM9" s="98">
        <f t="shared" si="5"/>
        <v>1500000</v>
      </c>
      <c r="AO9" s="92"/>
      <c r="AQ9" s="92"/>
    </row>
    <row r="10" spans="1:43" ht="15.75" customHeight="1">
      <c r="A10" s="93" t="s">
        <v>42</v>
      </c>
      <c r="B10" s="95">
        <v>1</v>
      </c>
      <c r="C10" s="97">
        <f>95000*$AH$51</f>
        <v>95000</v>
      </c>
      <c r="D10" s="95">
        <v>12</v>
      </c>
      <c r="E10" s="98">
        <f t="shared" si="6"/>
        <v>1140000</v>
      </c>
      <c r="F10" s="95">
        <v>1</v>
      </c>
      <c r="G10" s="97">
        <f>95000*$AH$51</f>
        <v>95000</v>
      </c>
      <c r="H10" s="95">
        <v>12</v>
      </c>
      <c r="I10" s="98">
        <f t="shared" si="7"/>
        <v>1140000</v>
      </c>
      <c r="J10" s="95">
        <v>1</v>
      </c>
      <c r="K10" s="97">
        <f>95000*$AH$51</f>
        <v>95000</v>
      </c>
      <c r="L10" s="95">
        <v>12</v>
      </c>
      <c r="M10" s="98">
        <f t="shared" si="8"/>
        <v>1140000</v>
      </c>
      <c r="N10" s="95">
        <v>1</v>
      </c>
      <c r="O10" s="97">
        <f>95000*$AH$51</f>
        <v>95000</v>
      </c>
      <c r="P10" s="95">
        <v>12</v>
      </c>
      <c r="Q10" s="98">
        <f t="shared" si="9"/>
        <v>1140000</v>
      </c>
      <c r="R10" s="95">
        <v>1</v>
      </c>
      <c r="S10" s="97">
        <f>95000*$AH$51</f>
        <v>95000</v>
      </c>
      <c r="T10" s="95">
        <v>12</v>
      </c>
      <c r="U10" s="98">
        <f t="shared" si="10"/>
        <v>1140000</v>
      </c>
      <c r="V10" s="95">
        <v>1</v>
      </c>
      <c r="W10" s="97">
        <f>95000*$AH$51</f>
        <v>95000</v>
      </c>
      <c r="X10" s="95">
        <v>12</v>
      </c>
      <c r="Y10" s="98">
        <f t="shared" si="11"/>
        <v>1140000</v>
      </c>
      <c r="AG10" s="93" t="s">
        <v>46</v>
      </c>
      <c r="AH10" s="98">
        <f t="shared" si="0"/>
        <v>900000</v>
      </c>
      <c r="AI10" s="98">
        <f t="shared" si="1"/>
        <v>900000</v>
      </c>
      <c r="AJ10" s="98">
        <f t="shared" si="2"/>
        <v>900000</v>
      </c>
      <c r="AK10" s="98">
        <f t="shared" si="3"/>
        <v>900000</v>
      </c>
      <c r="AL10" s="98">
        <f t="shared" si="4"/>
        <v>900000</v>
      </c>
      <c r="AM10" s="98">
        <f t="shared" si="5"/>
        <v>900000</v>
      </c>
      <c r="AO10" s="92"/>
      <c r="AQ10" s="92"/>
    </row>
    <row r="11" spans="1:43" ht="15.75" customHeight="1">
      <c r="A11" s="93" t="s">
        <v>43</v>
      </c>
      <c r="B11" s="95">
        <v>5</v>
      </c>
      <c r="C11" s="97">
        <f>35000*$AH$51</f>
        <v>35000</v>
      </c>
      <c r="D11" s="95">
        <v>12</v>
      </c>
      <c r="E11" s="98">
        <f t="shared" si="6"/>
        <v>2100000</v>
      </c>
      <c r="F11" s="95">
        <v>0</v>
      </c>
      <c r="G11" s="97">
        <f>35000*$AH$51</f>
        <v>35000</v>
      </c>
      <c r="H11" s="95">
        <v>12</v>
      </c>
      <c r="I11" s="98">
        <f t="shared" si="7"/>
        <v>0</v>
      </c>
      <c r="J11" s="95">
        <v>0</v>
      </c>
      <c r="K11" s="97">
        <f>35000*$AH$51</f>
        <v>35000</v>
      </c>
      <c r="L11" s="95">
        <v>12</v>
      </c>
      <c r="M11" s="98">
        <f t="shared" si="8"/>
        <v>0</v>
      </c>
      <c r="N11" s="95">
        <v>0</v>
      </c>
      <c r="O11" s="97">
        <f>35000*$AH$51</f>
        <v>35000</v>
      </c>
      <c r="P11" s="95">
        <v>0</v>
      </c>
      <c r="Q11" s="98">
        <f t="shared" si="9"/>
        <v>0</v>
      </c>
      <c r="R11" s="95">
        <v>0</v>
      </c>
      <c r="S11" s="97">
        <f>35000*$AH$51</f>
        <v>35000</v>
      </c>
      <c r="T11" s="95">
        <v>0</v>
      </c>
      <c r="U11" s="98">
        <f t="shared" si="10"/>
        <v>0</v>
      </c>
      <c r="V11" s="95">
        <v>0</v>
      </c>
      <c r="W11" s="97">
        <f>35000*$AH$51</f>
        <v>35000</v>
      </c>
      <c r="X11" s="95">
        <v>0</v>
      </c>
      <c r="Y11" s="98">
        <f t="shared" si="11"/>
        <v>0</v>
      </c>
      <c r="AG11" s="93" t="s">
        <v>63</v>
      </c>
      <c r="AH11" s="94"/>
      <c r="AI11" s="94"/>
      <c r="AJ11" s="94"/>
      <c r="AK11" s="94"/>
      <c r="AL11" s="94"/>
      <c r="AM11" s="94"/>
      <c r="AO11" s="92"/>
      <c r="AQ11" s="92"/>
    </row>
    <row r="12" spans="1:43" ht="15.75" customHeight="1">
      <c r="A12" s="93" t="s">
        <v>44</v>
      </c>
      <c r="B12" s="95">
        <v>5</v>
      </c>
      <c r="C12" s="97">
        <f>70000*$AH$51</f>
        <v>70000</v>
      </c>
      <c r="D12" s="95">
        <v>12</v>
      </c>
      <c r="E12" s="98">
        <f t="shared" si="6"/>
        <v>4200000</v>
      </c>
      <c r="F12" s="95">
        <v>5</v>
      </c>
      <c r="G12" s="97">
        <f>70000*$AH$51</f>
        <v>70000</v>
      </c>
      <c r="H12" s="95">
        <v>12</v>
      </c>
      <c r="I12" s="98">
        <f t="shared" si="7"/>
        <v>4200000</v>
      </c>
      <c r="J12" s="95">
        <v>5</v>
      </c>
      <c r="K12" s="97">
        <f>70000*$AH$51</f>
        <v>70000</v>
      </c>
      <c r="L12" s="95">
        <v>12</v>
      </c>
      <c r="M12" s="98">
        <f t="shared" si="8"/>
        <v>4200000</v>
      </c>
      <c r="N12" s="95">
        <v>0</v>
      </c>
      <c r="O12" s="97">
        <f>70000*$AH$51</f>
        <v>70000</v>
      </c>
      <c r="P12" s="95">
        <v>0</v>
      </c>
      <c r="Q12" s="98">
        <f t="shared" si="9"/>
        <v>0</v>
      </c>
      <c r="R12" s="95">
        <v>0</v>
      </c>
      <c r="S12" s="97">
        <f>70000*$AH$51</f>
        <v>70000</v>
      </c>
      <c r="T12" s="95">
        <v>0</v>
      </c>
      <c r="U12" s="98">
        <f t="shared" si="10"/>
        <v>0</v>
      </c>
      <c r="V12" s="95">
        <v>0</v>
      </c>
      <c r="W12" s="97">
        <f>70000*$AH$51</f>
        <v>70000</v>
      </c>
      <c r="X12" s="95">
        <v>0</v>
      </c>
      <c r="Y12" s="98">
        <f t="shared" si="11"/>
        <v>0</v>
      </c>
      <c r="AG12" s="93" t="s">
        <v>48</v>
      </c>
      <c r="AH12" s="98">
        <f>E16</f>
        <v>406250</v>
      </c>
      <c r="AI12" s="98">
        <f>I16</f>
        <v>406250</v>
      </c>
      <c r="AJ12" s="98">
        <f>M16</f>
        <v>406250</v>
      </c>
      <c r="AK12" s="94">
        <f>Q16</f>
        <v>0</v>
      </c>
      <c r="AL12" s="94">
        <f>U16</f>
        <v>0</v>
      </c>
      <c r="AM12" s="94">
        <f>Y16</f>
        <v>0</v>
      </c>
      <c r="AO12" s="99"/>
      <c r="AQ12" s="92"/>
    </row>
    <row r="13" spans="1:43" ht="15.75" customHeight="1">
      <c r="A13" s="93" t="s">
        <v>45</v>
      </c>
      <c r="B13" s="95">
        <v>5</v>
      </c>
      <c r="C13" s="97">
        <f>25000*$AH$51</f>
        <v>25000</v>
      </c>
      <c r="D13" s="95">
        <v>12</v>
      </c>
      <c r="E13" s="98">
        <f t="shared" si="6"/>
        <v>1500000</v>
      </c>
      <c r="F13" s="95">
        <v>5</v>
      </c>
      <c r="G13" s="97">
        <f>25000*$AH$51</f>
        <v>25000</v>
      </c>
      <c r="H13" s="95">
        <v>12</v>
      </c>
      <c r="I13" s="98">
        <f t="shared" si="7"/>
        <v>1500000</v>
      </c>
      <c r="J13" s="95">
        <v>5</v>
      </c>
      <c r="K13" s="97">
        <f>25000*$AH$51</f>
        <v>25000</v>
      </c>
      <c r="L13" s="95">
        <v>12</v>
      </c>
      <c r="M13" s="98">
        <f t="shared" si="8"/>
        <v>1500000</v>
      </c>
      <c r="N13" s="95">
        <v>5</v>
      </c>
      <c r="O13" s="97">
        <f>25000*$AH$51</f>
        <v>25000</v>
      </c>
      <c r="P13" s="95">
        <v>12</v>
      </c>
      <c r="Q13" s="98">
        <f t="shared" si="9"/>
        <v>1500000</v>
      </c>
      <c r="R13" s="95">
        <v>5</v>
      </c>
      <c r="S13" s="97">
        <f>25000*$AH$51</f>
        <v>25000</v>
      </c>
      <c r="T13" s="95">
        <v>12</v>
      </c>
      <c r="U13" s="98">
        <f t="shared" si="10"/>
        <v>1500000</v>
      </c>
      <c r="V13" s="95">
        <v>5</v>
      </c>
      <c r="W13" s="97">
        <f>25000*$AH$51</f>
        <v>25000</v>
      </c>
      <c r="X13" s="95">
        <v>12</v>
      </c>
      <c r="Y13" s="98">
        <f t="shared" si="11"/>
        <v>1500000</v>
      </c>
      <c r="AG13" s="93" t="s">
        <v>49</v>
      </c>
      <c r="AH13" s="94"/>
      <c r="AI13" s="94"/>
      <c r="AJ13" s="94"/>
      <c r="AK13" s="94"/>
      <c r="AL13" s="94"/>
      <c r="AM13" s="94"/>
      <c r="AO13" s="99"/>
      <c r="AQ13" s="92"/>
    </row>
    <row r="14" spans="1:43" ht="15.75" customHeight="1">
      <c r="A14" s="93" t="s">
        <v>46</v>
      </c>
      <c r="B14" s="95">
        <v>1</v>
      </c>
      <c r="C14" s="97">
        <f>75000*$AH$51</f>
        <v>75000</v>
      </c>
      <c r="D14" s="95">
        <v>12</v>
      </c>
      <c r="E14" s="98">
        <f t="shared" si="6"/>
        <v>900000</v>
      </c>
      <c r="F14" s="95">
        <v>1</v>
      </c>
      <c r="G14" s="97">
        <f>75000*$AH$51</f>
        <v>75000</v>
      </c>
      <c r="H14" s="95">
        <v>12</v>
      </c>
      <c r="I14" s="98">
        <f t="shared" si="7"/>
        <v>900000</v>
      </c>
      <c r="J14" s="95">
        <v>1</v>
      </c>
      <c r="K14" s="97">
        <f>75000*$AH$51</f>
        <v>75000</v>
      </c>
      <c r="L14" s="95">
        <v>12</v>
      </c>
      <c r="M14" s="98">
        <f t="shared" si="8"/>
        <v>900000</v>
      </c>
      <c r="N14" s="95">
        <v>1</v>
      </c>
      <c r="O14" s="97">
        <f>75000*$AH$51</f>
        <v>75000</v>
      </c>
      <c r="P14" s="95">
        <v>12</v>
      </c>
      <c r="Q14" s="98">
        <f t="shared" si="9"/>
        <v>900000</v>
      </c>
      <c r="R14" s="95">
        <v>1</v>
      </c>
      <c r="S14" s="97">
        <f>75000*$AH$51</f>
        <v>75000</v>
      </c>
      <c r="T14" s="95">
        <v>12</v>
      </c>
      <c r="U14" s="98">
        <f t="shared" si="10"/>
        <v>900000</v>
      </c>
      <c r="V14" s="95">
        <v>1</v>
      </c>
      <c r="W14" s="97">
        <f>75000*$AH$51</f>
        <v>75000</v>
      </c>
      <c r="X14" s="95">
        <v>12</v>
      </c>
      <c r="Y14" s="98">
        <f t="shared" si="11"/>
        <v>900000</v>
      </c>
      <c r="AG14" s="93" t="s">
        <v>50</v>
      </c>
      <c r="AH14" s="98">
        <f>E18</f>
        <v>1218750</v>
      </c>
      <c r="AI14" s="98">
        <f>I18</f>
        <v>1218750</v>
      </c>
      <c r="AJ14" s="98">
        <f>M18</f>
        <v>1218750</v>
      </c>
      <c r="AK14" s="98">
        <f>Q18</f>
        <v>1218750</v>
      </c>
      <c r="AL14" s="98">
        <f>U18</f>
        <v>1218750</v>
      </c>
      <c r="AM14" s="98">
        <f>Y18</f>
        <v>1218750</v>
      </c>
      <c r="AO14" s="99"/>
      <c r="AQ14" s="99"/>
    </row>
    <row r="15" spans="1:43" ht="15.75" customHeight="1">
      <c r="A15" s="93" t="s">
        <v>47</v>
      </c>
      <c r="B15" s="95"/>
      <c r="C15" s="95"/>
      <c r="D15" s="95"/>
      <c r="E15" s="94"/>
      <c r="F15" s="95"/>
      <c r="G15" s="97"/>
      <c r="H15" s="95"/>
      <c r="I15" s="94"/>
      <c r="J15" s="95"/>
      <c r="K15" s="97"/>
      <c r="L15" s="95"/>
      <c r="M15" s="94"/>
      <c r="N15" s="95"/>
      <c r="O15" s="97"/>
      <c r="P15" s="95"/>
      <c r="Q15" s="94"/>
      <c r="R15" s="95"/>
      <c r="S15" s="97"/>
      <c r="T15" s="95"/>
      <c r="U15" s="94"/>
      <c r="V15" s="95"/>
      <c r="W15" s="97"/>
      <c r="X15" s="95"/>
      <c r="Y15" s="94"/>
      <c r="AG15" s="93" t="s">
        <v>51</v>
      </c>
      <c r="AH15" s="94"/>
      <c r="AI15" s="94"/>
      <c r="AJ15" s="94"/>
      <c r="AK15" s="94"/>
      <c r="AL15" s="94"/>
      <c r="AM15" s="94"/>
      <c r="AO15" s="92"/>
      <c r="AQ15" s="99"/>
    </row>
    <row r="16" spans="1:43" ht="15.75" customHeight="1">
      <c r="A16" s="93" t="s">
        <v>48</v>
      </c>
      <c r="B16" s="97">
        <v>1250</v>
      </c>
      <c r="C16" s="95">
        <f>325*$AH$52</f>
        <v>325</v>
      </c>
      <c r="D16" s="95">
        <v>1</v>
      </c>
      <c r="E16" s="98">
        <f>C16*B16*D16</f>
        <v>406250</v>
      </c>
      <c r="F16" s="100">
        <v>1250</v>
      </c>
      <c r="G16" s="97">
        <f>325*$AH$52</f>
        <v>325</v>
      </c>
      <c r="H16" s="95">
        <v>1</v>
      </c>
      <c r="I16" s="98">
        <f>G16*F16*H16</f>
        <v>406250</v>
      </c>
      <c r="J16" s="100">
        <v>1250</v>
      </c>
      <c r="K16" s="97">
        <f>325*$AH$52</f>
        <v>325</v>
      </c>
      <c r="L16" s="95">
        <v>1</v>
      </c>
      <c r="M16" s="98">
        <f>K16*J16*L16</f>
        <v>406250</v>
      </c>
      <c r="N16" s="95">
        <v>0</v>
      </c>
      <c r="O16" s="97">
        <f>325*$AH$52</f>
        <v>325</v>
      </c>
      <c r="P16" s="95">
        <v>1</v>
      </c>
      <c r="Q16" s="98">
        <f>O16*N16*P16</f>
        <v>0</v>
      </c>
      <c r="R16" s="95">
        <v>0</v>
      </c>
      <c r="S16" s="97">
        <f>325*$AH$52</f>
        <v>325</v>
      </c>
      <c r="T16" s="95">
        <v>1</v>
      </c>
      <c r="U16" s="94">
        <f>S16*R16*T16</f>
        <v>0</v>
      </c>
      <c r="V16" s="95">
        <v>0</v>
      </c>
      <c r="W16" s="97">
        <f>325*$AH$52</f>
        <v>325</v>
      </c>
      <c r="X16" s="95">
        <v>1</v>
      </c>
      <c r="Y16" s="94">
        <f>W16*V16*X16</f>
        <v>0</v>
      </c>
      <c r="Z16" s="74"/>
      <c r="AG16" s="93" t="s">
        <v>52</v>
      </c>
      <c r="AH16" s="154">
        <f>E20</f>
        <v>487500</v>
      </c>
      <c r="AI16" s="154">
        <f>I20</f>
        <v>487500</v>
      </c>
      <c r="AJ16" s="154">
        <f>M20</f>
        <v>487500</v>
      </c>
      <c r="AK16" s="154">
        <f>Q20</f>
        <v>487500</v>
      </c>
      <c r="AL16" s="154">
        <f>U20</f>
        <v>487500</v>
      </c>
      <c r="AM16" s="94">
        <f>Y20</f>
        <v>0</v>
      </c>
      <c r="AO16" s="92"/>
      <c r="AQ16" s="99"/>
    </row>
    <row r="17" spans="1:43" ht="15.75" customHeight="1">
      <c r="A17" s="93" t="s">
        <v>49</v>
      </c>
      <c r="B17" s="95"/>
      <c r="C17" s="95"/>
      <c r="D17" s="95"/>
      <c r="E17" s="94"/>
      <c r="F17" s="95"/>
      <c r="G17" s="97"/>
      <c r="H17" s="95"/>
      <c r="I17" s="94"/>
      <c r="J17" s="100"/>
      <c r="K17" s="97"/>
      <c r="L17" s="95"/>
      <c r="M17" s="94"/>
      <c r="N17" s="95"/>
      <c r="O17" s="97"/>
      <c r="P17" s="95"/>
      <c r="Q17" s="94"/>
      <c r="R17" s="95"/>
      <c r="S17" s="97"/>
      <c r="T17" s="95"/>
      <c r="U17" s="94"/>
      <c r="V17" s="95"/>
      <c r="W17" s="97"/>
      <c r="X17" s="95"/>
      <c r="Y17" s="94"/>
      <c r="AG17" s="93" t="s">
        <v>53</v>
      </c>
      <c r="AH17" s="94"/>
      <c r="AI17" s="94"/>
      <c r="AJ17" s="94"/>
      <c r="AK17" s="94"/>
      <c r="AL17" s="94"/>
      <c r="AM17" s="94"/>
      <c r="AO17" s="92"/>
      <c r="AQ17" s="92"/>
    </row>
    <row r="18" spans="1:43" ht="15.75" customHeight="1">
      <c r="A18" s="93" t="s">
        <v>50</v>
      </c>
      <c r="B18" s="97">
        <v>3750</v>
      </c>
      <c r="C18" s="95">
        <f>325*$AH$52</f>
        <v>325</v>
      </c>
      <c r="D18" s="95">
        <v>1</v>
      </c>
      <c r="E18" s="98">
        <f>C18*B18*D18</f>
        <v>1218750</v>
      </c>
      <c r="F18" s="100">
        <v>3750</v>
      </c>
      <c r="G18" s="97">
        <f>325*$AH$52</f>
        <v>325</v>
      </c>
      <c r="H18" s="95">
        <v>1</v>
      </c>
      <c r="I18" s="98">
        <f>G18*F18*H18</f>
        <v>1218750</v>
      </c>
      <c r="J18" s="100">
        <v>3750</v>
      </c>
      <c r="K18" s="97">
        <f>325*$AH$52</f>
        <v>325</v>
      </c>
      <c r="L18" s="95">
        <v>1</v>
      </c>
      <c r="M18" s="98">
        <f>K18*J18*L18</f>
        <v>1218750</v>
      </c>
      <c r="N18" s="100">
        <v>3750</v>
      </c>
      <c r="O18" s="97">
        <f>325*$AH$52</f>
        <v>325</v>
      </c>
      <c r="P18" s="95">
        <v>1</v>
      </c>
      <c r="Q18" s="98">
        <f>O18*N18*P18</f>
        <v>1218750</v>
      </c>
      <c r="R18" s="100">
        <v>3750</v>
      </c>
      <c r="S18" s="97">
        <f>325*$AH$52</f>
        <v>325</v>
      </c>
      <c r="T18" s="95">
        <v>1</v>
      </c>
      <c r="U18" s="98">
        <f>S18*R18*T18</f>
        <v>1218750</v>
      </c>
      <c r="V18" s="100">
        <v>3750</v>
      </c>
      <c r="W18" s="97">
        <f>325*$AH$52</f>
        <v>325</v>
      </c>
      <c r="X18" s="95">
        <v>1</v>
      </c>
      <c r="Y18" s="98">
        <f>W18*V18*X18</f>
        <v>1218750</v>
      </c>
      <c r="AG18" s="88" t="s">
        <v>64</v>
      </c>
      <c r="AH18" s="154">
        <f>E22</f>
        <v>300000</v>
      </c>
      <c r="AI18" s="154">
        <f>I22</f>
        <v>300000</v>
      </c>
      <c r="AJ18" s="154">
        <f>M22</f>
        <v>300000</v>
      </c>
      <c r="AK18" s="154">
        <f>Q22</f>
        <v>300000</v>
      </c>
      <c r="AL18" s="154">
        <f>U22</f>
        <v>300000</v>
      </c>
      <c r="AM18" s="94">
        <f>Y22</f>
        <v>0</v>
      </c>
      <c r="AO18" s="99"/>
      <c r="AQ18" s="92"/>
    </row>
    <row r="19" spans="1:43" ht="15.75" customHeight="1">
      <c r="A19" s="93" t="s">
        <v>51</v>
      </c>
      <c r="B19" s="95"/>
      <c r="C19" s="95"/>
      <c r="D19" s="95"/>
      <c r="E19" s="94"/>
      <c r="F19" s="95"/>
      <c r="G19" s="97"/>
      <c r="H19" s="95"/>
      <c r="I19" s="94"/>
      <c r="J19" s="100"/>
      <c r="K19" s="97"/>
      <c r="L19" s="95"/>
      <c r="M19" s="94"/>
      <c r="N19" s="95"/>
      <c r="O19" s="97"/>
      <c r="P19" s="95"/>
      <c r="Q19" s="94"/>
      <c r="R19" s="95"/>
      <c r="S19" s="97"/>
      <c r="T19" s="95"/>
      <c r="U19" s="94"/>
      <c r="V19" s="95"/>
      <c r="W19" s="97"/>
      <c r="X19" s="95"/>
      <c r="Y19" s="94"/>
      <c r="AG19" s="88" t="s">
        <v>55</v>
      </c>
      <c r="AH19" s="101"/>
      <c r="AI19" s="94"/>
      <c r="AJ19" s="94"/>
      <c r="AK19" s="94"/>
      <c r="AL19" s="94"/>
      <c r="AM19" s="94"/>
      <c r="AO19" s="92"/>
      <c r="AQ19" s="92"/>
    </row>
    <row r="20" spans="1:43" ht="15.75" customHeight="1">
      <c r="A20" s="93" t="s">
        <v>52</v>
      </c>
      <c r="B20" s="97">
        <v>1500</v>
      </c>
      <c r="C20" s="95">
        <f>325*$AH$52</f>
        <v>325</v>
      </c>
      <c r="D20" s="95">
        <v>1</v>
      </c>
      <c r="E20" s="98">
        <f>C20*B20*D20</f>
        <v>487500</v>
      </c>
      <c r="F20" s="100">
        <v>1500</v>
      </c>
      <c r="G20" s="97">
        <f>325*$AH$52</f>
        <v>325</v>
      </c>
      <c r="H20" s="95">
        <v>1</v>
      </c>
      <c r="I20" s="98">
        <f>G20*F20*H20</f>
        <v>487500</v>
      </c>
      <c r="J20" s="100">
        <v>1500</v>
      </c>
      <c r="K20" s="97">
        <f>325*$AH$52</f>
        <v>325</v>
      </c>
      <c r="L20" s="95">
        <v>1</v>
      </c>
      <c r="M20" s="98">
        <f>K20*J20*L20</f>
        <v>487500</v>
      </c>
      <c r="N20" s="100">
        <v>1500</v>
      </c>
      <c r="O20" s="97">
        <f>325*$AH$52</f>
        <v>325</v>
      </c>
      <c r="P20" s="95">
        <v>1</v>
      </c>
      <c r="Q20" s="98">
        <f>O20*N20*P20</f>
        <v>487500</v>
      </c>
      <c r="R20" s="100">
        <v>1500</v>
      </c>
      <c r="S20" s="97">
        <f>325*$AH$52</f>
        <v>325</v>
      </c>
      <c r="T20" s="95">
        <v>1</v>
      </c>
      <c r="U20" s="98">
        <f>S20*R20*T20</f>
        <v>487500</v>
      </c>
      <c r="V20" s="95">
        <v>0</v>
      </c>
      <c r="W20" s="97"/>
      <c r="X20" s="95">
        <v>1</v>
      </c>
      <c r="Y20" s="94">
        <f>W20*V20*X20</f>
        <v>0</v>
      </c>
      <c r="AG20" s="93" t="s">
        <v>56</v>
      </c>
      <c r="AH20" s="154">
        <f aca="true" t="shared" si="12" ref="AH20:AH25">E25</f>
        <v>750000</v>
      </c>
      <c r="AI20" s="94"/>
      <c r="AJ20" s="94"/>
      <c r="AK20" s="154">
        <f>Q26</f>
        <v>750000</v>
      </c>
      <c r="AL20" s="94"/>
      <c r="AM20" s="94"/>
      <c r="AO20" s="92"/>
      <c r="AQ20" s="99"/>
    </row>
    <row r="21" spans="1:43" ht="15.75" customHeight="1">
      <c r="A21" s="93" t="s">
        <v>53</v>
      </c>
      <c r="B21" s="95"/>
      <c r="C21" s="95"/>
      <c r="D21" s="95"/>
      <c r="E21" s="94"/>
      <c r="F21" s="95"/>
      <c r="G21" s="97"/>
      <c r="H21" s="95"/>
      <c r="I21" s="94"/>
      <c r="J21" s="95"/>
      <c r="K21" s="97"/>
      <c r="L21" s="95"/>
      <c r="M21" s="94"/>
      <c r="N21" s="95"/>
      <c r="O21" s="97"/>
      <c r="P21" s="95"/>
      <c r="Q21" s="94"/>
      <c r="R21" s="95"/>
      <c r="S21" s="97"/>
      <c r="T21" s="95"/>
      <c r="U21" s="94"/>
      <c r="V21" s="95"/>
      <c r="W21" s="97"/>
      <c r="X21" s="95"/>
      <c r="Y21" s="94"/>
      <c r="AG21" s="93" t="s">
        <v>57</v>
      </c>
      <c r="AH21" s="154">
        <f t="shared" si="12"/>
        <v>750000</v>
      </c>
      <c r="AI21" s="94"/>
      <c r="AJ21" s="94"/>
      <c r="AK21" s="94"/>
      <c r="AL21" s="94"/>
      <c r="AM21" s="94"/>
      <c r="AO21" s="92"/>
      <c r="AQ21" s="92"/>
    </row>
    <row r="22" spans="1:43" ht="15.75" customHeight="1">
      <c r="A22" s="93" t="s">
        <v>54</v>
      </c>
      <c r="B22" s="95">
        <v>1</v>
      </c>
      <c r="C22" s="97">
        <f>300000*$AH$59</f>
        <v>300000</v>
      </c>
      <c r="D22" s="95">
        <v>1</v>
      </c>
      <c r="E22" s="98">
        <f>C22*B22*D22</f>
        <v>300000</v>
      </c>
      <c r="F22" s="95">
        <v>1</v>
      </c>
      <c r="G22" s="97">
        <f>300000*$AH$59</f>
        <v>300000</v>
      </c>
      <c r="H22" s="95">
        <v>1</v>
      </c>
      <c r="I22" s="98">
        <f>G22*F22*H22</f>
        <v>300000</v>
      </c>
      <c r="J22" s="95">
        <v>1</v>
      </c>
      <c r="K22" s="97">
        <f>300000*$AH$59</f>
        <v>300000</v>
      </c>
      <c r="L22" s="95">
        <v>1</v>
      </c>
      <c r="M22" s="98">
        <f>K22*J22*L22</f>
        <v>300000</v>
      </c>
      <c r="N22" s="95">
        <v>1</v>
      </c>
      <c r="O22" s="97">
        <f>300000*$AH$59</f>
        <v>300000</v>
      </c>
      <c r="P22" s="95">
        <v>1</v>
      </c>
      <c r="Q22" s="98">
        <f>O22*N22*P22</f>
        <v>300000</v>
      </c>
      <c r="R22" s="95">
        <v>1</v>
      </c>
      <c r="S22" s="97">
        <f>300000*$AH$59</f>
        <v>300000</v>
      </c>
      <c r="T22" s="95">
        <v>1</v>
      </c>
      <c r="U22" s="98">
        <f>S22*R22*T22</f>
        <v>300000</v>
      </c>
      <c r="V22" s="95">
        <v>0</v>
      </c>
      <c r="W22" s="97">
        <f>300000*$AH$59</f>
        <v>300000</v>
      </c>
      <c r="X22" s="95">
        <v>1</v>
      </c>
      <c r="Y22" s="94">
        <f>W22*V22*X22</f>
        <v>0</v>
      </c>
      <c r="AG22" s="93" t="s">
        <v>58</v>
      </c>
      <c r="AH22" s="154">
        <f t="shared" si="12"/>
        <v>500000</v>
      </c>
      <c r="AI22" s="94"/>
      <c r="AJ22" s="94"/>
      <c r="AK22" s="94"/>
      <c r="AL22" s="94"/>
      <c r="AM22" s="94"/>
      <c r="AO22" s="92"/>
      <c r="AQ22" s="92"/>
    </row>
    <row r="23" spans="2:43" ht="15.75" customHeight="1">
      <c r="B23" s="95"/>
      <c r="C23" s="95"/>
      <c r="D23" s="95"/>
      <c r="E23" s="94"/>
      <c r="F23" s="95"/>
      <c r="G23" s="97"/>
      <c r="H23" s="95"/>
      <c r="I23" s="94"/>
      <c r="J23" s="95"/>
      <c r="K23" s="97"/>
      <c r="L23" s="95"/>
      <c r="M23" s="94"/>
      <c r="N23" s="95"/>
      <c r="O23" s="97"/>
      <c r="P23" s="95"/>
      <c r="Q23" s="94"/>
      <c r="R23" s="95"/>
      <c r="S23" s="97"/>
      <c r="T23" s="95"/>
      <c r="U23" s="94"/>
      <c r="V23" s="95"/>
      <c r="W23" s="97"/>
      <c r="X23" s="95"/>
      <c r="Y23" s="94"/>
      <c r="AG23" s="93" t="s">
        <v>59</v>
      </c>
      <c r="AH23" s="154">
        <f t="shared" si="12"/>
        <v>50000</v>
      </c>
      <c r="AI23" s="94"/>
      <c r="AJ23" s="94"/>
      <c r="AK23" s="94"/>
      <c r="AL23" s="94"/>
      <c r="AM23" s="154">
        <f>Y28</f>
        <v>50000</v>
      </c>
      <c r="AO23" s="92"/>
      <c r="AQ23" s="92"/>
    </row>
    <row r="24" spans="1:43" ht="15.75" customHeight="1">
      <c r="A24" s="74" t="s">
        <v>55</v>
      </c>
      <c r="B24" s="95"/>
      <c r="C24" s="95"/>
      <c r="D24" s="95"/>
      <c r="E24" s="94"/>
      <c r="F24" s="95"/>
      <c r="G24" s="97"/>
      <c r="H24" s="95"/>
      <c r="I24" s="94"/>
      <c r="J24" s="95"/>
      <c r="K24" s="97"/>
      <c r="L24" s="95"/>
      <c r="M24" s="94"/>
      <c r="N24" s="95"/>
      <c r="O24" s="97"/>
      <c r="P24" s="95"/>
      <c r="Q24" s="94"/>
      <c r="R24" s="95"/>
      <c r="S24" s="97"/>
      <c r="T24" s="95"/>
      <c r="U24" s="94"/>
      <c r="V24" s="95"/>
      <c r="W24" s="97"/>
      <c r="X24" s="95"/>
      <c r="Y24" s="94"/>
      <c r="AG24" s="93" t="s">
        <v>60</v>
      </c>
      <c r="AH24" s="154">
        <f t="shared" si="12"/>
        <v>150000</v>
      </c>
      <c r="AI24" s="94"/>
      <c r="AJ24" s="94"/>
      <c r="AK24" s="94"/>
      <c r="AL24" s="94"/>
      <c r="AM24" s="94"/>
      <c r="AO24" s="92"/>
      <c r="AQ24" s="92"/>
    </row>
    <row r="25" spans="1:43" ht="15.75" customHeight="1">
      <c r="A25" s="93" t="s">
        <v>56</v>
      </c>
      <c r="B25" s="95">
        <v>5</v>
      </c>
      <c r="C25" s="97">
        <f>$AH$54</f>
        <v>150000</v>
      </c>
      <c r="D25" s="95">
        <v>1</v>
      </c>
      <c r="E25" s="98">
        <f aca="true" t="shared" si="13" ref="E25:E30">C25*B25*D25</f>
        <v>750000</v>
      </c>
      <c r="F25" s="95"/>
      <c r="G25" s="97"/>
      <c r="H25" s="95"/>
      <c r="I25" s="94"/>
      <c r="J25" s="95"/>
      <c r="K25" s="97"/>
      <c r="L25" s="95"/>
      <c r="M25" s="94"/>
      <c r="N25" s="95"/>
      <c r="O25" s="97"/>
      <c r="P25" s="95"/>
      <c r="Q25" s="94"/>
      <c r="R25" s="95"/>
      <c r="S25" s="97"/>
      <c r="T25" s="95"/>
      <c r="U25" s="94"/>
      <c r="V25" s="95"/>
      <c r="W25" s="97"/>
      <c r="X25" s="95"/>
      <c r="Y25" s="94"/>
      <c r="AG25" s="93" t="s">
        <v>61</v>
      </c>
      <c r="AH25" s="154">
        <f t="shared" si="12"/>
        <v>1000000</v>
      </c>
      <c r="AI25" s="94"/>
      <c r="AJ25" s="94"/>
      <c r="AK25" s="94"/>
      <c r="AL25" s="94"/>
      <c r="AM25" s="94"/>
      <c r="AO25" s="92"/>
      <c r="AQ25" s="92"/>
    </row>
    <row r="26" spans="1:43" ht="15.75" customHeight="1" thickBot="1">
      <c r="A26" s="93" t="s">
        <v>57</v>
      </c>
      <c r="B26" s="95">
        <v>5</v>
      </c>
      <c r="C26" s="97">
        <f>$AH$54</f>
        <v>150000</v>
      </c>
      <c r="D26" s="95">
        <v>1</v>
      </c>
      <c r="E26" s="98">
        <f t="shared" si="13"/>
        <v>750000</v>
      </c>
      <c r="F26" s="95"/>
      <c r="G26" s="97"/>
      <c r="H26" s="95"/>
      <c r="I26" s="94"/>
      <c r="J26" s="95"/>
      <c r="K26" s="97"/>
      <c r="L26" s="95"/>
      <c r="M26" s="94"/>
      <c r="N26" s="95">
        <v>5</v>
      </c>
      <c r="O26" s="97">
        <f>$AH$54</f>
        <v>150000</v>
      </c>
      <c r="P26" s="95">
        <v>1</v>
      </c>
      <c r="Q26" s="98">
        <f>O26*N26*P26</f>
        <v>750000</v>
      </c>
      <c r="R26" s="95"/>
      <c r="S26" s="97"/>
      <c r="T26" s="95"/>
      <c r="U26" s="94"/>
      <c r="V26" s="95"/>
      <c r="W26" s="97"/>
      <c r="X26" s="95"/>
      <c r="Y26" s="94"/>
      <c r="AG26" s="102" t="s">
        <v>65</v>
      </c>
      <c r="AH26" s="151">
        <f>E33</f>
        <v>4000000</v>
      </c>
      <c r="AI26" s="151">
        <f>I33</f>
        <v>4000000</v>
      </c>
      <c r="AJ26" s="151">
        <f>M33</f>
        <v>4000000</v>
      </c>
      <c r="AK26" s="151">
        <f>Q33</f>
        <v>4000000</v>
      </c>
      <c r="AL26" s="151">
        <f>U33</f>
        <v>4000000</v>
      </c>
      <c r="AM26" s="151">
        <f>Y33</f>
        <v>4000000</v>
      </c>
      <c r="AO26" s="92"/>
      <c r="AQ26" s="92"/>
    </row>
    <row r="27" spans="1:43" s="103" customFormat="1" ht="15.75" customHeight="1">
      <c r="A27" s="93" t="s">
        <v>58</v>
      </c>
      <c r="B27" s="95">
        <v>10</v>
      </c>
      <c r="C27" s="97">
        <f>$AH$55</f>
        <v>50000</v>
      </c>
      <c r="D27" s="95">
        <v>1</v>
      </c>
      <c r="E27" s="98">
        <f t="shared" si="13"/>
        <v>500000</v>
      </c>
      <c r="F27" s="95"/>
      <c r="G27" s="97"/>
      <c r="H27" s="95"/>
      <c r="I27" s="94"/>
      <c r="J27" s="95"/>
      <c r="K27" s="97"/>
      <c r="L27" s="95"/>
      <c r="M27" s="94"/>
      <c r="N27" s="95"/>
      <c r="O27" s="97"/>
      <c r="P27" s="95"/>
      <c r="Q27" s="94"/>
      <c r="R27" s="95"/>
      <c r="S27" s="97"/>
      <c r="T27" s="95"/>
      <c r="U27" s="94"/>
      <c r="V27" s="95"/>
      <c r="W27" s="97"/>
      <c r="X27" s="95"/>
      <c r="Y27" s="94"/>
      <c r="Z27" s="73"/>
      <c r="AA27" s="73"/>
      <c r="AB27" s="73"/>
      <c r="AC27" s="73"/>
      <c r="AD27" s="73"/>
      <c r="AE27" s="73"/>
      <c r="AF27" s="73"/>
      <c r="AG27" s="88" t="s">
        <v>70</v>
      </c>
      <c r="AH27" s="153">
        <f>E34</f>
        <v>23952500</v>
      </c>
      <c r="AI27" s="153">
        <f>I34</f>
        <v>18652500</v>
      </c>
      <c r="AJ27" s="153">
        <f>M34</f>
        <v>18652500</v>
      </c>
      <c r="AK27" s="153">
        <f>Q34</f>
        <v>14796250</v>
      </c>
      <c r="AL27" s="153">
        <f>U34</f>
        <v>14046250</v>
      </c>
      <c r="AM27" s="153">
        <f>Y34</f>
        <v>13308750</v>
      </c>
      <c r="AO27" s="104"/>
      <c r="AQ27" s="104"/>
    </row>
    <row r="28" spans="1:43" s="79" customFormat="1" ht="15.75" customHeight="1">
      <c r="A28" s="105" t="s">
        <v>59</v>
      </c>
      <c r="B28" s="106">
        <v>5</v>
      </c>
      <c r="C28" s="107">
        <f>$AH$56</f>
        <v>10000</v>
      </c>
      <c r="D28" s="106">
        <v>1</v>
      </c>
      <c r="E28" s="98">
        <f t="shared" si="13"/>
        <v>50000</v>
      </c>
      <c r="F28" s="95"/>
      <c r="G28" s="97"/>
      <c r="H28" s="95"/>
      <c r="I28" s="94"/>
      <c r="J28" s="95"/>
      <c r="K28" s="97"/>
      <c r="L28" s="95"/>
      <c r="M28" s="94"/>
      <c r="N28" s="95"/>
      <c r="O28" s="97"/>
      <c r="P28" s="95"/>
      <c r="Q28" s="94"/>
      <c r="R28" s="95"/>
      <c r="S28" s="97"/>
      <c r="T28" s="95"/>
      <c r="U28" s="94"/>
      <c r="V28" s="95">
        <v>5</v>
      </c>
      <c r="W28" s="97">
        <f>$AH$56</f>
        <v>10000</v>
      </c>
      <c r="X28" s="95">
        <v>1</v>
      </c>
      <c r="Y28" s="98">
        <f>W28*V28*X28</f>
        <v>50000</v>
      </c>
      <c r="Z28" s="73"/>
      <c r="AA28" s="73"/>
      <c r="AB28" s="73"/>
      <c r="AC28" s="73"/>
      <c r="AD28" s="73"/>
      <c r="AE28" s="73"/>
      <c r="AF28" s="73"/>
      <c r="AG28" s="88" t="s">
        <v>71</v>
      </c>
      <c r="AH28" s="147">
        <f>$AH$47*$AH$49</f>
        <v>7500000</v>
      </c>
      <c r="AI28" s="147">
        <f>$AH$48*$AH$49</f>
        <v>21000000</v>
      </c>
      <c r="AJ28" s="147">
        <f>$AH$48*$AH$49</f>
        <v>21000000</v>
      </c>
      <c r="AK28" s="147">
        <f>$AH$48*$AH$49</f>
        <v>21000000</v>
      </c>
      <c r="AL28" s="147">
        <f>$AH$48*$AH$49</f>
        <v>21000000</v>
      </c>
      <c r="AM28" s="147">
        <f>$AH$48*AH$49</f>
        <v>21000000</v>
      </c>
      <c r="AO28" s="108"/>
      <c r="AQ28" s="108"/>
    </row>
    <row r="29" spans="1:43" ht="15.75" customHeight="1" thickBot="1">
      <c r="A29" s="109" t="s">
        <v>60</v>
      </c>
      <c r="B29" s="110">
        <v>1</v>
      </c>
      <c r="C29" s="111">
        <f>$AH$57</f>
        <v>150000</v>
      </c>
      <c r="D29" s="110">
        <v>1</v>
      </c>
      <c r="E29" s="98">
        <f t="shared" si="13"/>
        <v>150000</v>
      </c>
      <c r="F29" s="95"/>
      <c r="G29" s="97"/>
      <c r="H29" s="95"/>
      <c r="I29" s="94"/>
      <c r="J29" s="95"/>
      <c r="K29" s="97"/>
      <c r="L29" s="95"/>
      <c r="M29" s="94"/>
      <c r="N29" s="95"/>
      <c r="O29" s="97"/>
      <c r="P29" s="95"/>
      <c r="Q29" s="94"/>
      <c r="R29" s="95"/>
      <c r="S29" s="97"/>
      <c r="T29" s="95"/>
      <c r="U29" s="94"/>
      <c r="V29" s="95"/>
      <c r="W29" s="97"/>
      <c r="X29" s="95"/>
      <c r="Y29" s="94"/>
      <c r="AG29" s="88" t="s">
        <v>72</v>
      </c>
      <c r="AH29" s="148">
        <f>E36</f>
        <v>-16452500</v>
      </c>
      <c r="AI29" s="148">
        <f>I36</f>
        <v>2347500</v>
      </c>
      <c r="AJ29" s="148">
        <f>M36</f>
        <v>2347500</v>
      </c>
      <c r="AK29" s="148">
        <f>Q36</f>
        <v>6203750</v>
      </c>
      <c r="AL29" s="148">
        <f>U36</f>
        <v>6953750</v>
      </c>
      <c r="AM29" s="148">
        <f>Y36</f>
        <v>7691250</v>
      </c>
      <c r="AO29" s="92"/>
      <c r="AQ29" s="92"/>
    </row>
    <row r="30" spans="1:43" ht="15.75" customHeight="1" thickBot="1">
      <c r="A30" s="93" t="s">
        <v>61</v>
      </c>
      <c r="B30" s="95">
        <v>1</v>
      </c>
      <c r="C30" s="97">
        <f>$AH$58</f>
        <v>1000000</v>
      </c>
      <c r="D30" s="95">
        <v>1</v>
      </c>
      <c r="E30" s="98">
        <f t="shared" si="13"/>
        <v>1000000</v>
      </c>
      <c r="F30" s="95"/>
      <c r="G30" s="97"/>
      <c r="H30" s="95"/>
      <c r="I30" s="94"/>
      <c r="J30" s="95"/>
      <c r="K30" s="97"/>
      <c r="L30" s="95"/>
      <c r="M30" s="94"/>
      <c r="N30" s="95"/>
      <c r="O30" s="97"/>
      <c r="P30" s="95"/>
      <c r="Q30" s="94"/>
      <c r="R30" s="95"/>
      <c r="S30" s="97"/>
      <c r="T30" s="95"/>
      <c r="U30" s="94"/>
      <c r="V30" s="95"/>
      <c r="W30" s="97"/>
      <c r="X30" s="95"/>
      <c r="Y30" s="94"/>
      <c r="AG30" s="113" t="s">
        <v>4</v>
      </c>
      <c r="AH30" s="114"/>
      <c r="AI30" s="115"/>
      <c r="AJ30" s="74"/>
      <c r="AL30" s="74"/>
      <c r="AO30" s="92"/>
      <c r="AQ30" s="92"/>
    </row>
    <row r="31" spans="2:43" ht="15.75" customHeight="1" thickBot="1">
      <c r="B31" s="95"/>
      <c r="C31" s="95"/>
      <c r="D31" s="95"/>
      <c r="E31" s="94"/>
      <c r="F31" s="95"/>
      <c r="G31" s="97"/>
      <c r="H31" s="95"/>
      <c r="I31" s="94"/>
      <c r="J31" s="95"/>
      <c r="K31" s="97"/>
      <c r="L31" s="95"/>
      <c r="M31" s="94"/>
      <c r="N31" s="95"/>
      <c r="O31" s="97"/>
      <c r="P31" s="95"/>
      <c r="Q31" s="94"/>
      <c r="R31" s="95"/>
      <c r="S31" s="97"/>
      <c r="T31" s="95"/>
      <c r="U31" s="94"/>
      <c r="V31" s="95"/>
      <c r="W31" s="97"/>
      <c r="X31" s="95"/>
      <c r="Y31" s="94"/>
      <c r="AF31" s="74"/>
      <c r="AG31" s="88" t="s">
        <v>78</v>
      </c>
      <c r="AH31" s="116">
        <f>$AH$50</f>
        <v>0.12</v>
      </c>
      <c r="AL31" s="74"/>
      <c r="AO31" s="92"/>
      <c r="AQ31" s="92"/>
    </row>
    <row r="32" spans="1:43" ht="15.75" customHeight="1">
      <c r="A32" s="74" t="s">
        <v>62</v>
      </c>
      <c r="B32" s="95"/>
      <c r="C32" s="95"/>
      <c r="D32" s="95"/>
      <c r="E32" s="94"/>
      <c r="F32" s="95"/>
      <c r="G32" s="97"/>
      <c r="H32" s="95"/>
      <c r="I32" s="94"/>
      <c r="J32" s="95"/>
      <c r="K32" s="97"/>
      <c r="L32" s="95"/>
      <c r="M32" s="94"/>
      <c r="N32" s="95"/>
      <c r="O32" s="97"/>
      <c r="P32" s="95"/>
      <c r="Q32" s="94"/>
      <c r="R32" s="95"/>
      <c r="S32" s="97"/>
      <c r="T32" s="95"/>
      <c r="U32" s="94"/>
      <c r="V32" s="95"/>
      <c r="W32" s="97"/>
      <c r="X32" s="95"/>
      <c r="Y32" s="94"/>
      <c r="AG32" s="117" t="s">
        <v>11</v>
      </c>
      <c r="AH32" s="118">
        <f>1/(1+$AH$31)^0</f>
        <v>1</v>
      </c>
      <c r="AI32" s="118">
        <f>1/(1+$AH$31)^1</f>
        <v>0.8928571428571428</v>
      </c>
      <c r="AJ32" s="118">
        <f>1/(1+$AH$31)^2</f>
        <v>0.7971938775510203</v>
      </c>
      <c r="AK32" s="118">
        <f>1/(1+$AH$31)^3</f>
        <v>0.7117802478134109</v>
      </c>
      <c r="AL32" s="118">
        <f>1/(1+$AH$31)^4</f>
        <v>0.6355180784048312</v>
      </c>
      <c r="AM32" s="118">
        <f>1/(1+$AH$31)^5</f>
        <v>0.5674268557185992</v>
      </c>
      <c r="AQ32" s="92"/>
    </row>
    <row r="33" spans="1:43" ht="15.75" customHeight="1" thickBot="1">
      <c r="A33" s="93" t="s">
        <v>69</v>
      </c>
      <c r="B33" s="119">
        <v>1</v>
      </c>
      <c r="C33" s="120">
        <f>4000000*$AH$53</f>
        <v>4000000</v>
      </c>
      <c r="D33" s="119">
        <v>1</v>
      </c>
      <c r="E33" s="112">
        <f>C33*B33*D33</f>
        <v>4000000</v>
      </c>
      <c r="F33" s="119">
        <v>1</v>
      </c>
      <c r="G33" s="120">
        <f>4000000*$AH$53</f>
        <v>4000000</v>
      </c>
      <c r="H33" s="119">
        <v>1</v>
      </c>
      <c r="I33" s="112">
        <f>G33*F33*H33</f>
        <v>4000000</v>
      </c>
      <c r="J33" s="119">
        <v>1</v>
      </c>
      <c r="K33" s="120">
        <f>4000000*$AH$53</f>
        <v>4000000</v>
      </c>
      <c r="L33" s="119">
        <v>1</v>
      </c>
      <c r="M33" s="112">
        <f>K33*J33*L33</f>
        <v>4000000</v>
      </c>
      <c r="N33" s="119">
        <v>1</v>
      </c>
      <c r="O33" s="120">
        <f>4000000*$AH$53</f>
        <v>4000000</v>
      </c>
      <c r="P33" s="119">
        <v>1</v>
      </c>
      <c r="Q33" s="112">
        <f>O33*N33*P33</f>
        <v>4000000</v>
      </c>
      <c r="R33" s="119">
        <v>1</v>
      </c>
      <c r="S33" s="120">
        <f>4000000*$AH$53</f>
        <v>4000000</v>
      </c>
      <c r="T33" s="119">
        <v>1</v>
      </c>
      <c r="U33" s="112">
        <f>S33*R33*T33</f>
        <v>4000000</v>
      </c>
      <c r="V33" s="119">
        <v>1</v>
      </c>
      <c r="W33" s="120">
        <f>4000000*$AH$53</f>
        <v>4000000</v>
      </c>
      <c r="X33" s="119">
        <v>1</v>
      </c>
      <c r="Y33" s="112">
        <f>W33*V33*X33</f>
        <v>4000000</v>
      </c>
      <c r="AG33" s="121" t="s">
        <v>66</v>
      </c>
      <c r="AH33" s="151">
        <f aca="true" t="shared" si="14" ref="AH33:AM33">AH27*AH32</f>
        <v>23952500</v>
      </c>
      <c r="AI33" s="151">
        <f t="shared" si="14"/>
        <v>16654017.857142856</v>
      </c>
      <c r="AJ33" s="151">
        <f t="shared" si="14"/>
        <v>14869658.801020406</v>
      </c>
      <c r="AK33" s="151">
        <f t="shared" si="14"/>
        <v>10531678.49170918</v>
      </c>
      <c r="AL33" s="151">
        <f t="shared" si="14"/>
        <v>8926645.80879386</v>
      </c>
      <c r="AM33" s="151">
        <f t="shared" si="14"/>
        <v>7551742.166044907</v>
      </c>
      <c r="AQ33" s="92"/>
    </row>
    <row r="34" spans="1:43" ht="15.75" customHeight="1" thickBot="1">
      <c r="A34" s="74" t="s">
        <v>70</v>
      </c>
      <c r="B34" s="122"/>
      <c r="C34" s="122"/>
      <c r="D34" s="123"/>
      <c r="E34" s="157">
        <f>SUM(E8:E14,E16,E18,E20,E22,E25:E30,E33)</f>
        <v>23952500</v>
      </c>
      <c r="F34" s="125"/>
      <c r="G34" s="122"/>
      <c r="H34" s="123"/>
      <c r="I34" s="157">
        <f>SUM(I8:I14,I16,I18,I20,I22,I25:I30,I33)</f>
        <v>18652500</v>
      </c>
      <c r="J34" s="125"/>
      <c r="K34" s="122"/>
      <c r="L34" s="123"/>
      <c r="M34" s="157">
        <f>SUM(M8:M14,M16,M18,M20,M22,M25:M30,M33)</f>
        <v>18652500</v>
      </c>
      <c r="N34" s="125"/>
      <c r="O34" s="126"/>
      <c r="P34" s="123"/>
      <c r="Q34" s="157">
        <f>SUM(Q8:Q14,Q16,Q18,Q20,Q22,Q25:Q30,Q33)</f>
        <v>14796250</v>
      </c>
      <c r="R34" s="127"/>
      <c r="S34" s="128"/>
      <c r="T34" s="129"/>
      <c r="U34" s="157">
        <f>SUM(U8:U14,U16,U18,U20,U22,U25:U30,U33)</f>
        <v>14046250</v>
      </c>
      <c r="V34" s="127"/>
      <c r="W34" s="128"/>
      <c r="X34" s="129"/>
      <c r="Y34" s="156">
        <f>SUM(Y8:Y14,Y16,Y18,Y20,Y22,Y25:Y30,Y33)</f>
        <v>13308750</v>
      </c>
      <c r="AG34" s="121" t="s">
        <v>67</v>
      </c>
      <c r="AH34" s="152">
        <f>SUM(AH33,AI33,AJ33,AK33,AL33,AM33)</f>
        <v>82486243.12471122</v>
      </c>
      <c r="AI34" s="131"/>
      <c r="AJ34" s="131"/>
      <c r="AK34" s="131"/>
      <c r="AL34" s="131"/>
      <c r="AM34" s="131"/>
      <c r="AO34" s="132"/>
      <c r="AQ34" s="92"/>
    </row>
    <row r="35" spans="1:43" ht="15.75" customHeight="1" thickBot="1">
      <c r="A35" s="74" t="s">
        <v>71</v>
      </c>
      <c r="B35" s="122"/>
      <c r="C35" s="122"/>
      <c r="D35" s="123"/>
      <c r="E35" s="124">
        <f>$AH$47</f>
        <v>7500000</v>
      </c>
      <c r="F35" s="125"/>
      <c r="G35" s="122"/>
      <c r="H35" s="123"/>
      <c r="I35" s="124">
        <f>$AH$48</f>
        <v>21000000</v>
      </c>
      <c r="J35" s="125"/>
      <c r="K35" s="122"/>
      <c r="L35" s="123"/>
      <c r="M35" s="124">
        <f>$AH$48</f>
        <v>21000000</v>
      </c>
      <c r="N35" s="125"/>
      <c r="O35" s="126"/>
      <c r="P35" s="123"/>
      <c r="Q35" s="124">
        <f>$AH$48</f>
        <v>21000000</v>
      </c>
      <c r="R35" s="125"/>
      <c r="S35" s="126"/>
      <c r="T35" s="123"/>
      <c r="U35" s="124">
        <f>$AH$48</f>
        <v>21000000</v>
      </c>
      <c r="V35" s="125"/>
      <c r="W35" s="126"/>
      <c r="X35" s="123"/>
      <c r="Y35" s="130">
        <f>$AH$48</f>
        <v>21000000</v>
      </c>
      <c r="AG35" s="121" t="s">
        <v>0</v>
      </c>
      <c r="AH35" s="150">
        <f aca="true" t="shared" si="15" ref="AH35:AM35">AH32*AH28</f>
        <v>7500000</v>
      </c>
      <c r="AI35" s="150">
        <f t="shared" si="15"/>
        <v>18750000</v>
      </c>
      <c r="AJ35" s="150">
        <f t="shared" si="15"/>
        <v>16741071.428571427</v>
      </c>
      <c r="AK35" s="150">
        <f t="shared" si="15"/>
        <v>14947385.204081628</v>
      </c>
      <c r="AL35" s="150">
        <f t="shared" si="15"/>
        <v>13345879.646501455</v>
      </c>
      <c r="AM35" s="150">
        <f t="shared" si="15"/>
        <v>11915963.970090583</v>
      </c>
      <c r="AO35" s="133"/>
      <c r="AQ35" s="92"/>
    </row>
    <row r="36" spans="1:43" ht="15.75" customHeight="1" thickBot="1">
      <c r="A36" s="74" t="s">
        <v>72</v>
      </c>
      <c r="B36" s="122"/>
      <c r="C36" s="122"/>
      <c r="D36" s="123"/>
      <c r="E36" s="124">
        <f>E35-E34</f>
        <v>-16452500</v>
      </c>
      <c r="F36" s="125"/>
      <c r="G36" s="122"/>
      <c r="H36" s="123"/>
      <c r="I36" s="124">
        <f>I35-I34</f>
        <v>2347500</v>
      </c>
      <c r="J36" s="125"/>
      <c r="K36" s="122"/>
      <c r="L36" s="123"/>
      <c r="M36" s="124">
        <f>M35-M34</f>
        <v>2347500</v>
      </c>
      <c r="N36" s="125"/>
      <c r="O36" s="126"/>
      <c r="P36" s="123"/>
      <c r="Q36" s="124">
        <f>Q35-Q34</f>
        <v>6203750</v>
      </c>
      <c r="R36" s="125"/>
      <c r="S36" s="126"/>
      <c r="T36" s="123"/>
      <c r="U36" s="124">
        <f>U35-U34</f>
        <v>6953750</v>
      </c>
      <c r="V36" s="125"/>
      <c r="W36" s="126"/>
      <c r="X36" s="123"/>
      <c r="Y36" s="130">
        <f>Y35-Y34</f>
        <v>7691250</v>
      </c>
      <c r="AG36" s="121" t="s">
        <v>1</v>
      </c>
      <c r="AH36" s="146">
        <f>SUM(AH35,AI35,AJ35,AK35,AL35,AM35)</f>
        <v>83200300.24924509</v>
      </c>
      <c r="AI36" s="131"/>
      <c r="AJ36" s="131"/>
      <c r="AK36" s="131"/>
      <c r="AL36" s="131"/>
      <c r="AM36" s="131"/>
      <c r="AO36" s="131"/>
      <c r="AQ36" s="92"/>
    </row>
    <row r="37" spans="1:43" ht="15.75" customHeight="1" thickBot="1">
      <c r="A37" s="74"/>
      <c r="O37" s="134"/>
      <c r="AG37" s="88" t="s">
        <v>79</v>
      </c>
      <c r="AH37" s="144">
        <f>AH36-AH34</f>
        <v>714057.1245338768</v>
      </c>
      <c r="AI37" s="131"/>
      <c r="AM37" s="131"/>
      <c r="AO37" s="133"/>
      <c r="AQ37" s="92"/>
    </row>
    <row r="38" spans="1:43" ht="15.75" customHeight="1" thickBot="1">
      <c r="A38" s="74"/>
      <c r="O38" s="134"/>
      <c r="AG38" s="88" t="s">
        <v>81</v>
      </c>
      <c r="AH38" s="135">
        <f>AH36/AH34</f>
        <v>1.0086566813747875</v>
      </c>
      <c r="AN38" s="131"/>
      <c r="AO38" s="131"/>
      <c r="AQ38" s="92"/>
    </row>
    <row r="39" spans="1:41" ht="15.75" customHeight="1" thickBot="1">
      <c r="A39" s="74"/>
      <c r="AG39" s="88" t="s">
        <v>82</v>
      </c>
      <c r="AH39" s="155">
        <f>IRR(AI49:AI54)</f>
        <v>0.1340746337474012</v>
      </c>
      <c r="AN39" s="131"/>
      <c r="AO39" s="131"/>
    </row>
    <row r="40" spans="1:41" ht="15.75" customHeight="1">
      <c r="A40" s="74"/>
      <c r="AG40" s="88"/>
      <c r="AH40" s="160"/>
      <c r="AN40" s="74"/>
      <c r="AO40" s="133"/>
    </row>
    <row r="41" spans="33:43" ht="15.75" customHeight="1">
      <c r="AG41" s="88"/>
      <c r="AH41" s="161"/>
      <c r="AN41" s="74"/>
      <c r="AQ41" s="132"/>
    </row>
    <row r="42" spans="33:43" ht="15.75" customHeight="1">
      <c r="AG42" s="88"/>
      <c r="AH42" s="161"/>
      <c r="AN42" s="74"/>
      <c r="AQ42" s="133"/>
    </row>
    <row r="43" spans="33:43" ht="15.75" customHeight="1">
      <c r="AG43" s="88"/>
      <c r="AH43" s="161"/>
      <c r="AN43" s="74"/>
      <c r="AQ43" s="131"/>
    </row>
    <row r="44" spans="33:43" ht="15.75" customHeight="1">
      <c r="AG44" s="88"/>
      <c r="AH44" s="161"/>
      <c r="AN44" s="74"/>
      <c r="AQ44" s="133"/>
    </row>
    <row r="45" spans="21:46" ht="15.75" customHeight="1" thickBot="1">
      <c r="U45" s="87"/>
      <c r="AG45" s="88"/>
      <c r="AH45" s="162"/>
      <c r="AN45" s="74"/>
      <c r="AP45" s="131"/>
      <c r="AQ45" s="131"/>
      <c r="AR45" s="131"/>
      <c r="AS45" s="131"/>
      <c r="AT45" s="131"/>
    </row>
    <row r="46" spans="21:46" ht="15.75" customHeight="1" thickBot="1">
      <c r="U46" s="73"/>
      <c r="AG46" s="136" t="s">
        <v>83</v>
      </c>
      <c r="AH46" s="86"/>
      <c r="AN46" s="74"/>
      <c r="AP46" s="131"/>
      <c r="AQ46" s="131"/>
      <c r="AR46" s="131"/>
      <c r="AS46" s="131"/>
      <c r="AT46" s="131"/>
    </row>
    <row r="47" spans="21:46" ht="15.75" customHeight="1" thickBot="1">
      <c r="U47" s="73"/>
      <c r="AG47" s="93" t="s">
        <v>84</v>
      </c>
      <c r="AH47" s="149">
        <v>7500000</v>
      </c>
      <c r="AN47" s="74"/>
      <c r="AP47" s="133"/>
      <c r="AQ47" s="133"/>
      <c r="AR47" s="131"/>
      <c r="AS47" s="133"/>
      <c r="AT47" s="133"/>
    </row>
    <row r="48" spans="21:44" ht="15.75" customHeight="1" thickBot="1">
      <c r="U48" s="73"/>
      <c r="AG48" s="93" t="s">
        <v>85</v>
      </c>
      <c r="AH48" s="138">
        <v>21000000</v>
      </c>
      <c r="AI48" s="140" t="s">
        <v>33</v>
      </c>
      <c r="AJ48" s="131" t="s">
        <v>80</v>
      </c>
      <c r="AK48" s="131"/>
      <c r="AL48" s="142"/>
      <c r="AM48" s="73" t="s">
        <v>17</v>
      </c>
      <c r="AN48" s="74"/>
      <c r="AR48" s="74"/>
    </row>
    <row r="49" spans="21:44" ht="15.75" customHeight="1" thickBot="1">
      <c r="U49" s="73"/>
      <c r="AG49" s="93" t="s">
        <v>86</v>
      </c>
      <c r="AH49" s="137">
        <v>1</v>
      </c>
      <c r="AI49" s="134">
        <f>AH29</f>
        <v>-16452500</v>
      </c>
      <c r="AJ49" s="134">
        <f>AH32*AI49</f>
        <v>-16452500</v>
      </c>
      <c r="AK49" s="158">
        <v>0</v>
      </c>
      <c r="AL49" s="142">
        <v>0.05</v>
      </c>
      <c r="AM49" s="134">
        <v>5018661.450218782</v>
      </c>
      <c r="AN49" s="74"/>
      <c r="AR49" s="74"/>
    </row>
    <row r="50" spans="21:44" ht="15.75" customHeight="1" thickBot="1">
      <c r="U50" s="73"/>
      <c r="AG50" s="88" t="s">
        <v>87</v>
      </c>
      <c r="AH50" s="116">
        <v>0.12</v>
      </c>
      <c r="AI50" s="141">
        <f>AI29</f>
        <v>2347500</v>
      </c>
      <c r="AJ50" s="134">
        <f>AI32*AI50</f>
        <v>2095982.1428571427</v>
      </c>
      <c r="AK50" s="159">
        <v>1</v>
      </c>
      <c r="AL50" s="142">
        <v>0.1</v>
      </c>
      <c r="AM50" s="134">
        <v>1807809</v>
      </c>
      <c r="AN50" s="74"/>
      <c r="AR50" s="74"/>
    </row>
    <row r="51" spans="21:44" ht="15.75" customHeight="1" thickBot="1">
      <c r="U51" s="73"/>
      <c r="AG51" s="93" t="s">
        <v>88</v>
      </c>
      <c r="AH51" s="137">
        <v>1</v>
      </c>
      <c r="AI51" s="134">
        <f>AJ29</f>
        <v>2347500</v>
      </c>
      <c r="AJ51" s="134">
        <f>AJ32*AI51</f>
        <v>1871412.6275510201</v>
      </c>
      <c r="AK51" s="159">
        <v>2</v>
      </c>
      <c r="AL51" s="142">
        <v>0.15</v>
      </c>
      <c r="AM51" s="134">
        <v>-757342</v>
      </c>
      <c r="AN51" s="74"/>
      <c r="AR51" s="74"/>
    </row>
    <row r="52" spans="33:44" ht="15.75" customHeight="1" thickBot="1">
      <c r="AG52" s="93" t="s">
        <v>89</v>
      </c>
      <c r="AH52" s="137">
        <v>1</v>
      </c>
      <c r="AI52" s="134">
        <f>AK29</f>
        <v>6203750</v>
      </c>
      <c r="AJ52" s="134">
        <f>AK32*AI52</f>
        <v>4415706.712372447</v>
      </c>
      <c r="AK52" s="159">
        <v>3</v>
      </c>
      <c r="AL52" s="142">
        <v>0.2</v>
      </c>
      <c r="AM52" s="134">
        <v>-2831500</v>
      </c>
      <c r="AN52" s="74"/>
      <c r="AR52" s="74"/>
    </row>
    <row r="53" spans="33:44" ht="15.75" customHeight="1" thickBot="1">
      <c r="AG53" s="93" t="s">
        <v>6</v>
      </c>
      <c r="AH53" s="137">
        <v>1</v>
      </c>
      <c r="AI53" s="134">
        <f>AL29</f>
        <v>6953750</v>
      </c>
      <c r="AJ53" s="134">
        <f>AL32*AI53</f>
        <v>4419233.837707595</v>
      </c>
      <c r="AK53" s="159">
        <v>4</v>
      </c>
      <c r="AL53" s="142">
        <v>0.25</v>
      </c>
      <c r="AM53" s="134">
        <v>-4527255</v>
      </c>
      <c r="AN53" s="74"/>
      <c r="AR53" s="74"/>
    </row>
    <row r="54" spans="33:44" ht="15.75" customHeight="1" thickBot="1">
      <c r="AG54" s="93" t="s">
        <v>7</v>
      </c>
      <c r="AH54" s="138">
        <f>150000*($AH$60/$AH$61)</f>
        <v>150000</v>
      </c>
      <c r="AI54" s="134">
        <f>AM29</f>
        <v>7691250</v>
      </c>
      <c r="AJ54" s="134">
        <f>AM32*AI54</f>
        <v>4364221.804045676</v>
      </c>
      <c r="AK54" s="159">
        <v>5</v>
      </c>
      <c r="AL54" s="92"/>
      <c r="AN54" s="74"/>
      <c r="AR54" s="74"/>
    </row>
    <row r="55" spans="33:44" ht="15.75" customHeight="1" thickBot="1">
      <c r="AG55" s="93" t="s">
        <v>8</v>
      </c>
      <c r="AH55" s="138">
        <f>50000*(AH60/AH61)</f>
        <v>50000</v>
      </c>
      <c r="AJ55" s="74"/>
      <c r="AN55" s="74"/>
      <c r="AR55" s="74"/>
    </row>
    <row r="56" spans="33:44" ht="15.75" customHeight="1" thickBot="1">
      <c r="AG56" s="93" t="s">
        <v>9</v>
      </c>
      <c r="AH56" s="138">
        <f>10000*(AH60/AH61)</f>
        <v>10000</v>
      </c>
      <c r="AJ56" s="74"/>
      <c r="AN56" s="74"/>
      <c r="AR56" s="74"/>
    </row>
    <row r="57" spans="33:44" ht="15.75" customHeight="1" thickBot="1">
      <c r="AG57" s="93" t="s">
        <v>20</v>
      </c>
      <c r="AH57" s="138">
        <f>150000*(AH60/AH61)</f>
        <v>150000</v>
      </c>
      <c r="AN57" s="74"/>
      <c r="AR57" s="74"/>
    </row>
    <row r="58" spans="33:44" ht="15.75" customHeight="1" thickBot="1">
      <c r="AG58" s="93" t="s">
        <v>21</v>
      </c>
      <c r="AH58" s="138">
        <f>1000000*(AH60/AH61)</f>
        <v>1000000</v>
      </c>
      <c r="AN58" s="74"/>
      <c r="AR58" s="74"/>
    </row>
    <row r="59" spans="33:44" ht="15.75" customHeight="1" thickBot="1">
      <c r="AG59" s="93" t="s">
        <v>22</v>
      </c>
      <c r="AH59" s="139">
        <v>1</v>
      </c>
      <c r="AN59" s="74"/>
      <c r="AR59" s="74"/>
    </row>
    <row r="60" spans="33:44" ht="15.75" customHeight="1" thickBot="1">
      <c r="AG60" s="93" t="s">
        <v>23</v>
      </c>
      <c r="AH60" s="138">
        <v>500</v>
      </c>
      <c r="AN60" s="74"/>
      <c r="AR60" s="74"/>
    </row>
    <row r="61" spans="33:44" ht="15.75" customHeight="1" thickBot="1">
      <c r="AG61" s="93" t="s">
        <v>24</v>
      </c>
      <c r="AH61" s="145">
        <v>500</v>
      </c>
      <c r="AN61" s="74"/>
      <c r="AR61" s="74"/>
    </row>
    <row r="62" spans="40:44" ht="15.75" customHeight="1">
      <c r="AN62" s="74"/>
      <c r="AR62" s="74"/>
    </row>
    <row r="63" spans="40:44" ht="15.75" customHeight="1">
      <c r="AN63" s="74"/>
      <c r="AR63" s="74"/>
    </row>
    <row r="64" spans="38:44" ht="15.75" customHeight="1">
      <c r="AL64" s="92"/>
      <c r="AN64" s="74"/>
      <c r="AR64" s="74"/>
    </row>
    <row r="65" spans="38:44" ht="15.75" customHeight="1">
      <c r="AL65" s="92"/>
      <c r="AN65" s="74"/>
      <c r="AR65" s="74"/>
    </row>
    <row r="66" spans="40:44" ht="15.75" customHeight="1">
      <c r="AN66" s="74"/>
      <c r="AR66" s="74"/>
    </row>
    <row r="67" spans="40:44" ht="15.75" customHeight="1">
      <c r="AN67" s="74"/>
      <c r="AR67" s="74"/>
    </row>
    <row r="68" spans="40:44" ht="15.75" customHeight="1">
      <c r="AN68" s="74"/>
      <c r="AR68" s="74"/>
    </row>
    <row r="69" ht="15.75" customHeight="1">
      <c r="AR69" s="74"/>
    </row>
    <row r="70" spans="35:44" ht="15.75" customHeight="1">
      <c r="AI70" s="74"/>
      <c r="AL70" s="132"/>
      <c r="AM70" s="132"/>
      <c r="AR70" s="74"/>
    </row>
    <row r="71" ht="15.75" customHeight="1">
      <c r="AR71" s="74"/>
    </row>
    <row r="72" spans="40:44" ht="15.75" customHeight="1">
      <c r="AN72" s="132"/>
      <c r="AO72" s="132"/>
      <c r="AR72" s="74"/>
    </row>
    <row r="73" ht="15.75" customHeight="1">
      <c r="AR73" s="74"/>
    </row>
    <row r="74" ht="15.75" customHeight="1">
      <c r="AR74" s="74"/>
    </row>
    <row r="75" ht="15.75" customHeight="1">
      <c r="AR75" s="74"/>
    </row>
    <row r="76" spans="33:34" ht="15.75" customHeight="1">
      <c r="AG76" s="132"/>
      <c r="AH76" s="132"/>
    </row>
    <row r="78" ht="15.75" customHeight="1">
      <c r="AF78" s="132"/>
    </row>
    <row r="79" spans="17:41" s="132" customFormat="1" ht="15.75" customHeight="1">
      <c r="Q79" s="143"/>
      <c r="U79" s="143"/>
      <c r="Y79" s="14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</sheetData>
  <mergeCells count="25">
    <mergeCell ref="Y4:Y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F4:F5"/>
    <mergeCell ref="G4:G5"/>
    <mergeCell ref="H4:H5"/>
    <mergeCell ref="B4:B5"/>
    <mergeCell ref="C4:C5"/>
    <mergeCell ref="D4:D5"/>
    <mergeCell ref="E4:E5"/>
  </mergeCells>
  <printOptions/>
  <pageMargins left="0.3" right="0.3" top="0.7" bottom="0.7" header="0.5" footer="0.5"/>
  <pageSetup orientation="landscape" paperSize="9" scale="70"/>
  <headerFooter alignWithMargins="0">
    <oddHeader>&amp;L&amp;CAmDjenaSensibilite.xls&amp;R&amp;D, &amp;T</oddHeader>
    <oddFooter>&amp;L&amp;C- &amp;P -&amp;R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0"/>
  <sheetViews>
    <sheetView zoomScale="125" zoomScaleNormal="125" workbookViewId="0" topLeftCell="A102">
      <selection activeCell="D132" sqref="D132"/>
    </sheetView>
  </sheetViews>
  <sheetFormatPr defaultColWidth="11.5546875" defaultRowHeight="15.75"/>
  <cols>
    <col min="1" max="1" width="35.6640625" style="1" customWidth="1"/>
    <col min="2" max="2" width="6.10546875" style="1" customWidth="1"/>
    <col min="3" max="3" width="11.5546875" style="1" customWidth="1"/>
    <col min="4" max="4" width="6.6640625" style="1" customWidth="1"/>
    <col min="5" max="5" width="12.5546875" style="2" customWidth="1"/>
    <col min="6" max="6" width="6.99609375" style="1" customWidth="1"/>
    <col min="7" max="7" width="13.5546875" style="1" customWidth="1"/>
    <col min="8" max="8" width="6.6640625" style="1" customWidth="1"/>
    <col min="9" max="9" width="12.5546875" style="2" customWidth="1"/>
    <col min="10" max="10" width="6.99609375" style="1" customWidth="1"/>
    <col min="11" max="11" width="13.5546875" style="1" customWidth="1"/>
    <col min="12" max="12" width="6.6640625" style="1" customWidth="1"/>
    <col min="13" max="13" width="12.5546875" style="2" customWidth="1"/>
    <col min="14" max="14" width="6.99609375" style="1" customWidth="1"/>
    <col min="15" max="15" width="13.5546875" style="1" customWidth="1"/>
    <col min="16" max="16" width="6.6640625" style="1" customWidth="1"/>
    <col min="17" max="17" width="12.5546875" style="2" customWidth="1"/>
    <col min="18" max="18" width="6.99609375" style="1" customWidth="1"/>
    <col min="19" max="19" width="10.6640625" style="1" customWidth="1"/>
    <col min="20" max="20" width="7.5546875" style="1" customWidth="1"/>
    <col min="21" max="21" width="12.5546875" style="2" customWidth="1"/>
    <col min="22" max="22" width="5.6640625" style="1" customWidth="1"/>
    <col min="23" max="23" width="10.6640625" style="1" customWidth="1"/>
    <col min="24" max="24" width="6.6640625" style="1" customWidth="1"/>
    <col min="25" max="25" width="12.5546875" style="2" customWidth="1"/>
    <col min="26" max="26" width="10.6640625" style="1" customWidth="1"/>
    <col min="27" max="27" width="0.10546875" style="1" customWidth="1"/>
    <col min="28" max="16384" width="10.6640625" style="1" customWidth="1"/>
  </cols>
  <sheetData>
    <row r="1" spans="3:23" ht="12" customHeight="1" thickBot="1">
      <c r="C1" s="7"/>
      <c r="G1" s="7"/>
      <c r="K1" s="7"/>
      <c r="O1" s="7"/>
      <c r="S1" s="7"/>
      <c r="W1" s="7"/>
    </row>
    <row r="2" spans="2:27" s="73" customFormat="1" ht="18" customHeight="1" thickBot="1">
      <c r="B2" s="163"/>
      <c r="C2" s="164"/>
      <c r="D2" s="164"/>
      <c r="E2" s="165" t="s">
        <v>90</v>
      </c>
      <c r="F2" s="164"/>
      <c r="G2" s="164"/>
      <c r="H2" s="166"/>
      <c r="I2" s="84"/>
      <c r="K2" s="74"/>
      <c r="M2" s="84"/>
      <c r="O2" s="74"/>
      <c r="Q2" s="84"/>
      <c r="S2" s="74"/>
      <c r="U2" s="84"/>
      <c r="W2" s="74"/>
      <c r="Y2" s="84"/>
      <c r="AA2" s="74"/>
    </row>
    <row r="3" spans="2:25" ht="12" customHeight="1">
      <c r="B3" s="167"/>
      <c r="C3" s="167"/>
      <c r="D3" s="168"/>
      <c r="E3" s="9" t="s">
        <v>27</v>
      </c>
      <c r="F3" s="167"/>
      <c r="G3" s="167"/>
      <c r="H3" s="168"/>
      <c r="I3" s="9" t="s">
        <v>28</v>
      </c>
      <c r="J3" s="167"/>
      <c r="K3" s="167"/>
      <c r="L3" s="168"/>
      <c r="M3" s="9" t="s">
        <v>29</v>
      </c>
      <c r="N3" s="167"/>
      <c r="O3" s="167"/>
      <c r="P3" s="168"/>
      <c r="Q3" s="9" t="s">
        <v>30</v>
      </c>
      <c r="R3" s="167"/>
      <c r="S3" s="167"/>
      <c r="T3" s="167"/>
      <c r="U3" s="9" t="s">
        <v>31</v>
      </c>
      <c r="V3" s="167"/>
      <c r="W3" s="167"/>
      <c r="X3" s="167"/>
      <c r="Y3" s="9" t="s">
        <v>32</v>
      </c>
    </row>
    <row r="4" spans="1:31" ht="12" customHeight="1">
      <c r="A4" s="7" t="s">
        <v>34</v>
      </c>
      <c r="B4" s="169" t="s">
        <v>35</v>
      </c>
      <c r="C4" s="169" t="s">
        <v>36</v>
      </c>
      <c r="D4" s="169" t="s">
        <v>91</v>
      </c>
      <c r="E4" s="170" t="s">
        <v>92</v>
      </c>
      <c r="F4" s="169" t="s">
        <v>35</v>
      </c>
      <c r="G4" s="169" t="s">
        <v>36</v>
      </c>
      <c r="H4" s="169" t="s">
        <v>91</v>
      </c>
      <c r="I4" s="170" t="s">
        <v>92</v>
      </c>
      <c r="J4" s="169" t="s">
        <v>35</v>
      </c>
      <c r="K4" s="169" t="s">
        <v>36</v>
      </c>
      <c r="L4" s="169" t="s">
        <v>91</v>
      </c>
      <c r="M4" s="170" t="s">
        <v>92</v>
      </c>
      <c r="N4" s="169" t="s">
        <v>35</v>
      </c>
      <c r="O4" s="169" t="s">
        <v>36</v>
      </c>
      <c r="P4" s="169" t="s">
        <v>91</v>
      </c>
      <c r="Q4" s="170" t="s">
        <v>92</v>
      </c>
      <c r="R4" s="169" t="s">
        <v>35</v>
      </c>
      <c r="S4" s="169" t="s">
        <v>36</v>
      </c>
      <c r="T4" s="169" t="s">
        <v>91</v>
      </c>
      <c r="U4" s="170" t="s">
        <v>92</v>
      </c>
      <c r="V4" s="169" t="s">
        <v>35</v>
      </c>
      <c r="W4" s="169" t="s">
        <v>36</v>
      </c>
      <c r="X4" s="169" t="s">
        <v>91</v>
      </c>
      <c r="Y4" s="170" t="s">
        <v>92</v>
      </c>
      <c r="Z4" s="10"/>
      <c r="AA4" s="10"/>
      <c r="AB4" s="10"/>
      <c r="AC4" s="10"/>
      <c r="AD4" s="10"/>
      <c r="AE4" s="10"/>
    </row>
    <row r="5" spans="1:25" ht="12.75">
      <c r="A5" s="74" t="s">
        <v>38</v>
      </c>
      <c r="B5" s="11"/>
      <c r="C5" s="11"/>
      <c r="D5" s="11"/>
      <c r="E5" s="12"/>
      <c r="F5" s="11"/>
      <c r="G5" s="11"/>
      <c r="H5" s="11"/>
      <c r="I5" s="12"/>
      <c r="J5" s="11"/>
      <c r="K5" s="11"/>
      <c r="L5" s="11"/>
      <c r="M5" s="12"/>
      <c r="N5" s="11"/>
      <c r="O5" s="11"/>
      <c r="P5" s="11"/>
      <c r="Q5" s="12"/>
      <c r="R5" s="11"/>
      <c r="S5" s="11"/>
      <c r="T5" s="11"/>
      <c r="U5" s="12"/>
      <c r="V5" s="11"/>
      <c r="W5" s="11"/>
      <c r="X5" s="11"/>
      <c r="Y5" s="12"/>
    </row>
    <row r="6" spans="1:25" ht="12.75">
      <c r="A6" s="84" t="s">
        <v>39</v>
      </c>
      <c r="B6" s="11"/>
      <c r="C6" s="11"/>
      <c r="D6" s="11"/>
      <c r="E6" s="12"/>
      <c r="F6" s="11"/>
      <c r="G6" s="11"/>
      <c r="H6" s="11"/>
      <c r="I6" s="12"/>
      <c r="J6" s="11"/>
      <c r="K6" s="11"/>
      <c r="L6" s="11"/>
      <c r="M6" s="12"/>
      <c r="N6" s="11"/>
      <c r="O6" s="11"/>
      <c r="P6" s="11"/>
      <c r="Q6" s="12"/>
      <c r="R6" s="11"/>
      <c r="S6" s="11"/>
      <c r="T6" s="11"/>
      <c r="U6" s="12"/>
      <c r="V6" s="11"/>
      <c r="W6" s="11"/>
      <c r="X6" s="11"/>
      <c r="Y6" s="12"/>
    </row>
    <row r="7" spans="1:25" ht="12.75">
      <c r="A7" s="93" t="s">
        <v>40</v>
      </c>
      <c r="B7" s="171">
        <v>1</v>
      </c>
      <c r="C7" s="172">
        <f>250000*$C$114</f>
        <v>250000</v>
      </c>
      <c r="D7" s="173">
        <v>12</v>
      </c>
      <c r="E7" s="174">
        <f aca="true" t="shared" si="0" ref="E7:E13">C7*B7*D7</f>
        <v>3000000</v>
      </c>
      <c r="F7" s="171">
        <v>1</v>
      </c>
      <c r="G7" s="172">
        <f>250000*$C$114</f>
        <v>250000</v>
      </c>
      <c r="H7" s="173">
        <v>12</v>
      </c>
      <c r="I7" s="174">
        <f aca="true" t="shared" si="1" ref="I7:I13">G7*F7*H7</f>
        <v>3000000</v>
      </c>
      <c r="J7" s="171">
        <v>1</v>
      </c>
      <c r="K7" s="172">
        <f>250000*$C$114</f>
        <v>250000</v>
      </c>
      <c r="L7" s="173">
        <v>12</v>
      </c>
      <c r="M7" s="174">
        <f aca="true" t="shared" si="2" ref="M7:M13">K7*J7*L7</f>
        <v>3000000</v>
      </c>
      <c r="N7" s="173">
        <v>1</v>
      </c>
      <c r="O7" s="172">
        <f>250000*$C$114</f>
        <v>250000</v>
      </c>
      <c r="P7" s="173">
        <v>12</v>
      </c>
      <c r="Q7" s="174">
        <f aca="true" t="shared" si="3" ref="Q7:Q13">O7*N7*P7</f>
        <v>3000000</v>
      </c>
      <c r="R7" s="171">
        <v>1</v>
      </c>
      <c r="S7" s="172">
        <f>250000*$C$114</f>
        <v>250000</v>
      </c>
      <c r="T7" s="173">
        <v>12</v>
      </c>
      <c r="U7" s="174">
        <f aca="true" t="shared" si="4" ref="U7:U13">S7*R7*T7</f>
        <v>3000000</v>
      </c>
      <c r="V7" s="171">
        <v>1</v>
      </c>
      <c r="W7" s="172">
        <f>250000*$C$114</f>
        <v>250000</v>
      </c>
      <c r="X7" s="173">
        <v>12</v>
      </c>
      <c r="Y7" s="174">
        <f aca="true" t="shared" si="5" ref="Y7:Y13">W7*V7*X7</f>
        <v>3000000</v>
      </c>
    </row>
    <row r="8" spans="1:25" ht="12.75">
      <c r="A8" s="93" t="s">
        <v>41</v>
      </c>
      <c r="B8" s="171">
        <v>1</v>
      </c>
      <c r="C8" s="172">
        <f>125000*$C$114</f>
        <v>125000</v>
      </c>
      <c r="D8" s="173">
        <v>12</v>
      </c>
      <c r="E8" s="174">
        <f t="shared" si="0"/>
        <v>1500000</v>
      </c>
      <c r="F8" s="171">
        <v>1</v>
      </c>
      <c r="G8" s="172">
        <f>125000*$C$114</f>
        <v>125000</v>
      </c>
      <c r="H8" s="173">
        <v>12</v>
      </c>
      <c r="I8" s="174">
        <f t="shared" si="1"/>
        <v>1500000</v>
      </c>
      <c r="J8" s="171">
        <v>1</v>
      </c>
      <c r="K8" s="172">
        <f>125000*$C$114</f>
        <v>125000</v>
      </c>
      <c r="L8" s="173">
        <v>12</v>
      </c>
      <c r="M8" s="174">
        <f t="shared" si="2"/>
        <v>1500000</v>
      </c>
      <c r="N8" s="173">
        <v>1</v>
      </c>
      <c r="O8" s="172">
        <f>125000*$C$114</f>
        <v>125000</v>
      </c>
      <c r="P8" s="173">
        <v>12</v>
      </c>
      <c r="Q8" s="174">
        <f t="shared" si="3"/>
        <v>1500000</v>
      </c>
      <c r="R8" s="171">
        <v>1</v>
      </c>
      <c r="S8" s="172">
        <f>125000*$C$114</f>
        <v>125000</v>
      </c>
      <c r="T8" s="173">
        <v>12</v>
      </c>
      <c r="U8" s="174">
        <f t="shared" si="4"/>
        <v>1500000</v>
      </c>
      <c r="V8" s="171">
        <v>1</v>
      </c>
      <c r="W8" s="172">
        <f>125000*$C$114</f>
        <v>125000</v>
      </c>
      <c r="X8" s="173">
        <v>12</v>
      </c>
      <c r="Y8" s="174">
        <f t="shared" si="5"/>
        <v>1500000</v>
      </c>
    </row>
    <row r="9" spans="1:25" ht="12.75">
      <c r="A9" s="93" t="s">
        <v>42</v>
      </c>
      <c r="B9" s="171">
        <v>1</v>
      </c>
      <c r="C9" s="172">
        <f>95000*$C$114</f>
        <v>95000</v>
      </c>
      <c r="D9" s="173">
        <v>12</v>
      </c>
      <c r="E9" s="174">
        <f t="shared" si="0"/>
        <v>1140000</v>
      </c>
      <c r="F9" s="171">
        <v>1</v>
      </c>
      <c r="G9" s="172">
        <f>95000*$C$114</f>
        <v>95000</v>
      </c>
      <c r="H9" s="173">
        <v>12</v>
      </c>
      <c r="I9" s="174">
        <f t="shared" si="1"/>
        <v>1140000</v>
      </c>
      <c r="J9" s="171">
        <v>1</v>
      </c>
      <c r="K9" s="172">
        <f>95000*$C$114</f>
        <v>95000</v>
      </c>
      <c r="L9" s="173">
        <v>12</v>
      </c>
      <c r="M9" s="174">
        <f t="shared" si="2"/>
        <v>1140000</v>
      </c>
      <c r="N9" s="173">
        <v>1</v>
      </c>
      <c r="O9" s="172">
        <f>95000*$C$114</f>
        <v>95000</v>
      </c>
      <c r="P9" s="173">
        <v>12</v>
      </c>
      <c r="Q9" s="174">
        <f t="shared" si="3"/>
        <v>1140000</v>
      </c>
      <c r="R9" s="171">
        <v>1</v>
      </c>
      <c r="S9" s="172">
        <f>95000*$C$114</f>
        <v>95000</v>
      </c>
      <c r="T9" s="173">
        <v>12</v>
      </c>
      <c r="U9" s="174">
        <f t="shared" si="4"/>
        <v>1140000</v>
      </c>
      <c r="V9" s="171">
        <v>1</v>
      </c>
      <c r="W9" s="172">
        <f>95000*$C$114</f>
        <v>95000</v>
      </c>
      <c r="X9" s="173">
        <v>12</v>
      </c>
      <c r="Y9" s="174">
        <f t="shared" si="5"/>
        <v>1140000</v>
      </c>
    </row>
    <row r="10" spans="1:25" ht="12.75">
      <c r="A10" s="93" t="s">
        <v>43</v>
      </c>
      <c r="B10" s="171">
        <v>5</v>
      </c>
      <c r="C10" s="172">
        <f>35000*$C$114</f>
        <v>35000</v>
      </c>
      <c r="D10" s="173">
        <v>12</v>
      </c>
      <c r="E10" s="174">
        <f t="shared" si="0"/>
        <v>2100000</v>
      </c>
      <c r="F10" s="171">
        <v>0</v>
      </c>
      <c r="G10" s="172">
        <f>35000*$C$114</f>
        <v>35000</v>
      </c>
      <c r="H10" s="173">
        <v>12</v>
      </c>
      <c r="I10" s="174">
        <f t="shared" si="1"/>
        <v>0</v>
      </c>
      <c r="J10" s="171">
        <v>0</v>
      </c>
      <c r="K10" s="172">
        <f>35000*$C$114</f>
        <v>35000</v>
      </c>
      <c r="L10" s="173">
        <v>12</v>
      </c>
      <c r="M10" s="174">
        <f t="shared" si="2"/>
        <v>0</v>
      </c>
      <c r="N10" s="173">
        <v>0</v>
      </c>
      <c r="O10" s="172">
        <f>35000*$C$114</f>
        <v>35000</v>
      </c>
      <c r="P10" s="173">
        <v>0</v>
      </c>
      <c r="Q10" s="174">
        <f t="shared" si="3"/>
        <v>0</v>
      </c>
      <c r="R10" s="171">
        <v>0</v>
      </c>
      <c r="S10" s="172">
        <f>35000*$C$114</f>
        <v>35000</v>
      </c>
      <c r="T10" s="173">
        <v>0</v>
      </c>
      <c r="U10" s="174">
        <f t="shared" si="4"/>
        <v>0</v>
      </c>
      <c r="V10" s="171">
        <v>0</v>
      </c>
      <c r="W10" s="172">
        <f>35000*$C$114</f>
        <v>35000</v>
      </c>
      <c r="X10" s="173">
        <v>0</v>
      </c>
      <c r="Y10" s="174">
        <f t="shared" si="5"/>
        <v>0</v>
      </c>
    </row>
    <row r="11" spans="1:25" ht="12.75">
      <c r="A11" s="93" t="s">
        <v>44</v>
      </c>
      <c r="B11" s="171">
        <v>5</v>
      </c>
      <c r="C11" s="172">
        <f>70000*$C$114</f>
        <v>70000</v>
      </c>
      <c r="D11" s="173">
        <v>12</v>
      </c>
      <c r="E11" s="174">
        <f t="shared" si="0"/>
        <v>4200000</v>
      </c>
      <c r="F11" s="171">
        <v>5</v>
      </c>
      <c r="G11" s="172">
        <f>70000*$C$114</f>
        <v>70000</v>
      </c>
      <c r="H11" s="173">
        <v>12</v>
      </c>
      <c r="I11" s="174">
        <f t="shared" si="1"/>
        <v>4200000</v>
      </c>
      <c r="J11" s="171">
        <v>5</v>
      </c>
      <c r="K11" s="172">
        <f>70000*$C$114</f>
        <v>70000</v>
      </c>
      <c r="L11" s="173">
        <v>12</v>
      </c>
      <c r="M11" s="174">
        <f t="shared" si="2"/>
        <v>4200000</v>
      </c>
      <c r="N11" s="173">
        <v>0</v>
      </c>
      <c r="O11" s="172">
        <f>70000*$C$114</f>
        <v>70000</v>
      </c>
      <c r="P11" s="173">
        <v>0</v>
      </c>
      <c r="Q11" s="174">
        <f t="shared" si="3"/>
        <v>0</v>
      </c>
      <c r="R11" s="171">
        <v>0</v>
      </c>
      <c r="S11" s="172">
        <f>70000*$C$114</f>
        <v>70000</v>
      </c>
      <c r="T11" s="173">
        <v>0</v>
      </c>
      <c r="U11" s="174">
        <f t="shared" si="4"/>
        <v>0</v>
      </c>
      <c r="V11" s="171">
        <v>0</v>
      </c>
      <c r="W11" s="172">
        <f>70000*$C$114</f>
        <v>70000</v>
      </c>
      <c r="X11" s="173">
        <v>0</v>
      </c>
      <c r="Y11" s="174">
        <f t="shared" si="5"/>
        <v>0</v>
      </c>
    </row>
    <row r="12" spans="1:25" ht="12.75">
      <c r="A12" s="93" t="s">
        <v>45</v>
      </c>
      <c r="B12" s="171">
        <v>5</v>
      </c>
      <c r="C12" s="172">
        <f>25000*$C$114</f>
        <v>25000</v>
      </c>
      <c r="D12" s="173">
        <v>12</v>
      </c>
      <c r="E12" s="174">
        <f t="shared" si="0"/>
        <v>1500000</v>
      </c>
      <c r="F12" s="171">
        <v>5</v>
      </c>
      <c r="G12" s="172">
        <f>25000*$C$114</f>
        <v>25000</v>
      </c>
      <c r="H12" s="173">
        <v>12</v>
      </c>
      <c r="I12" s="174">
        <f t="shared" si="1"/>
        <v>1500000</v>
      </c>
      <c r="J12" s="171">
        <v>5</v>
      </c>
      <c r="K12" s="172">
        <f>25000*$C$114</f>
        <v>25000</v>
      </c>
      <c r="L12" s="173">
        <v>12</v>
      </c>
      <c r="M12" s="174">
        <f t="shared" si="2"/>
        <v>1500000</v>
      </c>
      <c r="N12" s="173">
        <v>5</v>
      </c>
      <c r="O12" s="172">
        <f>25000*$C$114</f>
        <v>25000</v>
      </c>
      <c r="P12" s="173">
        <v>12</v>
      </c>
      <c r="Q12" s="174">
        <f t="shared" si="3"/>
        <v>1500000</v>
      </c>
      <c r="R12" s="171">
        <v>5</v>
      </c>
      <c r="S12" s="172">
        <f>25000*$C$114</f>
        <v>25000</v>
      </c>
      <c r="T12" s="173">
        <v>12</v>
      </c>
      <c r="U12" s="174">
        <f t="shared" si="4"/>
        <v>1500000</v>
      </c>
      <c r="V12" s="171">
        <v>5</v>
      </c>
      <c r="W12" s="172">
        <f>25000*$C$114</f>
        <v>25000</v>
      </c>
      <c r="X12" s="173">
        <v>12</v>
      </c>
      <c r="Y12" s="174">
        <f t="shared" si="5"/>
        <v>1500000</v>
      </c>
    </row>
    <row r="13" spans="1:25" ht="12.75">
      <c r="A13" s="93" t="s">
        <v>46</v>
      </c>
      <c r="B13" s="171">
        <v>1</v>
      </c>
      <c r="C13" s="172">
        <f>75000*$C$114</f>
        <v>75000</v>
      </c>
      <c r="D13" s="173">
        <v>12</v>
      </c>
      <c r="E13" s="174">
        <f t="shared" si="0"/>
        <v>900000</v>
      </c>
      <c r="F13" s="171">
        <v>1</v>
      </c>
      <c r="G13" s="172">
        <f>75000*$C$114</f>
        <v>75000</v>
      </c>
      <c r="H13" s="173">
        <v>12</v>
      </c>
      <c r="I13" s="174">
        <f t="shared" si="1"/>
        <v>900000</v>
      </c>
      <c r="J13" s="171">
        <v>1</v>
      </c>
      <c r="K13" s="172">
        <f>75000*$C$114</f>
        <v>75000</v>
      </c>
      <c r="L13" s="173">
        <v>12</v>
      </c>
      <c r="M13" s="174">
        <f t="shared" si="2"/>
        <v>900000</v>
      </c>
      <c r="N13" s="173">
        <v>1</v>
      </c>
      <c r="O13" s="172">
        <f>75000*$C$114</f>
        <v>75000</v>
      </c>
      <c r="P13" s="173">
        <v>12</v>
      </c>
      <c r="Q13" s="174">
        <f t="shared" si="3"/>
        <v>900000</v>
      </c>
      <c r="R13" s="171">
        <v>1</v>
      </c>
      <c r="S13" s="172">
        <f>75000*$C$114</f>
        <v>75000</v>
      </c>
      <c r="T13" s="173">
        <v>12</v>
      </c>
      <c r="U13" s="174">
        <f t="shared" si="4"/>
        <v>900000</v>
      </c>
      <c r="V13" s="171">
        <v>1</v>
      </c>
      <c r="W13" s="172">
        <f>75000*$C$114</f>
        <v>75000</v>
      </c>
      <c r="X13" s="173">
        <v>12</v>
      </c>
      <c r="Y13" s="174">
        <f t="shared" si="5"/>
        <v>900000</v>
      </c>
    </row>
    <row r="14" spans="1:25" ht="12.75">
      <c r="A14" s="93" t="s">
        <v>47</v>
      </c>
      <c r="B14" s="171"/>
      <c r="C14" s="172"/>
      <c r="D14" s="173"/>
      <c r="E14" s="174"/>
      <c r="F14" s="171"/>
      <c r="G14" s="172"/>
      <c r="H14" s="173"/>
      <c r="I14" s="174"/>
      <c r="J14" s="171"/>
      <c r="K14" s="172"/>
      <c r="L14" s="173"/>
      <c r="M14" s="174"/>
      <c r="N14" s="173"/>
      <c r="O14" s="172"/>
      <c r="P14" s="173"/>
      <c r="Q14" s="174"/>
      <c r="R14" s="171"/>
      <c r="S14" s="172"/>
      <c r="T14" s="173"/>
      <c r="U14" s="174"/>
      <c r="V14" s="171"/>
      <c r="W14" s="172"/>
      <c r="X14" s="173"/>
      <c r="Y14" s="174"/>
    </row>
    <row r="15" spans="1:26" ht="12.75">
      <c r="A15" s="93" t="s">
        <v>48</v>
      </c>
      <c r="B15" s="171">
        <v>1250</v>
      </c>
      <c r="C15" s="172">
        <f>325*$C$115</f>
        <v>325</v>
      </c>
      <c r="D15" s="173">
        <v>1</v>
      </c>
      <c r="E15" s="174">
        <f>C15*B15*D15</f>
        <v>406250</v>
      </c>
      <c r="F15" s="171">
        <v>1250</v>
      </c>
      <c r="G15" s="172">
        <f>325*$C$115</f>
        <v>325</v>
      </c>
      <c r="H15" s="173">
        <v>1</v>
      </c>
      <c r="I15" s="174">
        <f>G15*F15*H15</f>
        <v>406250</v>
      </c>
      <c r="J15" s="171">
        <v>1250</v>
      </c>
      <c r="K15" s="172">
        <f>325*$C$115</f>
        <v>325</v>
      </c>
      <c r="L15" s="173">
        <v>1</v>
      </c>
      <c r="M15" s="174">
        <f>K15*J15*L15</f>
        <v>406250</v>
      </c>
      <c r="N15" s="173">
        <v>0</v>
      </c>
      <c r="O15" s="172">
        <f>325*$C$115</f>
        <v>325</v>
      </c>
      <c r="P15" s="173">
        <v>1</v>
      </c>
      <c r="Q15" s="174">
        <f>O15*N15*P15</f>
        <v>0</v>
      </c>
      <c r="R15" s="171">
        <v>0</v>
      </c>
      <c r="S15" s="172">
        <f>325*$C$115</f>
        <v>325</v>
      </c>
      <c r="T15" s="173">
        <v>1</v>
      </c>
      <c r="U15" s="174"/>
      <c r="V15" s="171">
        <v>0</v>
      </c>
      <c r="W15" s="172">
        <f>325*$C$115</f>
        <v>325</v>
      </c>
      <c r="X15" s="173">
        <v>1</v>
      </c>
      <c r="Y15" s="174"/>
      <c r="Z15" s="2"/>
    </row>
    <row r="16" spans="1:25" ht="12.75">
      <c r="A16" s="93" t="s">
        <v>49</v>
      </c>
      <c r="B16" s="171"/>
      <c r="C16" s="172"/>
      <c r="D16" s="173"/>
      <c r="E16" s="174"/>
      <c r="F16" s="171"/>
      <c r="G16" s="172"/>
      <c r="H16" s="173"/>
      <c r="I16" s="174"/>
      <c r="J16" s="171"/>
      <c r="K16" s="172"/>
      <c r="L16" s="173"/>
      <c r="M16" s="174"/>
      <c r="N16" s="173"/>
      <c r="O16" s="172"/>
      <c r="P16" s="173"/>
      <c r="Q16" s="174"/>
      <c r="R16" s="171"/>
      <c r="S16" s="172"/>
      <c r="T16" s="173"/>
      <c r="U16" s="174"/>
      <c r="V16" s="171"/>
      <c r="W16" s="172"/>
      <c r="X16" s="173"/>
      <c r="Y16" s="174"/>
    </row>
    <row r="17" spans="1:27" ht="12.75">
      <c r="A17" s="93" t="s">
        <v>50</v>
      </c>
      <c r="B17" s="171">
        <v>3750</v>
      </c>
      <c r="C17" s="172">
        <f>325*$C$115</f>
        <v>325</v>
      </c>
      <c r="D17" s="173">
        <v>1</v>
      </c>
      <c r="E17" s="174">
        <f>C17*B17*D17</f>
        <v>1218750</v>
      </c>
      <c r="F17" s="171">
        <v>3750</v>
      </c>
      <c r="G17" s="172">
        <f>325*$C$115</f>
        <v>325</v>
      </c>
      <c r="H17" s="173">
        <v>1</v>
      </c>
      <c r="I17" s="174">
        <f>G17*F17*H17</f>
        <v>1218750</v>
      </c>
      <c r="J17" s="171">
        <v>3750</v>
      </c>
      <c r="K17" s="172">
        <f>325*$C$115</f>
        <v>325</v>
      </c>
      <c r="L17" s="173">
        <v>1</v>
      </c>
      <c r="M17" s="174">
        <f>K17*J17*L17</f>
        <v>1218750</v>
      </c>
      <c r="N17" s="173">
        <v>3750</v>
      </c>
      <c r="O17" s="172">
        <f>325*$C$115</f>
        <v>325</v>
      </c>
      <c r="P17" s="173">
        <v>1</v>
      </c>
      <c r="Q17" s="174">
        <f>O17*N17*P17</f>
        <v>1218750</v>
      </c>
      <c r="R17" s="173">
        <v>3750</v>
      </c>
      <c r="S17" s="172">
        <f>325*$C$115</f>
        <v>325</v>
      </c>
      <c r="T17" s="173">
        <v>1</v>
      </c>
      <c r="U17" s="174">
        <f>S17*R17*T17</f>
        <v>1218750</v>
      </c>
      <c r="V17" s="171">
        <v>3750</v>
      </c>
      <c r="W17" s="172">
        <f>325*$C$115</f>
        <v>325</v>
      </c>
      <c r="X17" s="173">
        <v>1</v>
      </c>
      <c r="Y17" s="174">
        <f>W17*V17*X17</f>
        <v>1218750</v>
      </c>
      <c r="AA17" s="1">
        <f>$E$70</f>
        <v>-16452500</v>
      </c>
    </row>
    <row r="18" spans="1:27" ht="12.75">
      <c r="A18" s="93" t="s">
        <v>51</v>
      </c>
      <c r="B18" s="171"/>
      <c r="C18" s="172"/>
      <c r="D18" s="173"/>
      <c r="E18" s="174"/>
      <c r="F18" s="171"/>
      <c r="G18" s="172"/>
      <c r="H18" s="173"/>
      <c r="I18" s="174"/>
      <c r="J18" s="171"/>
      <c r="K18" s="172"/>
      <c r="L18" s="173"/>
      <c r="M18" s="174"/>
      <c r="N18" s="173"/>
      <c r="O18" s="172"/>
      <c r="P18" s="173"/>
      <c r="Q18" s="174"/>
      <c r="R18" s="173"/>
      <c r="S18" s="172"/>
      <c r="T18" s="173"/>
      <c r="U18" s="174"/>
      <c r="V18" s="171"/>
      <c r="W18" s="172"/>
      <c r="X18" s="173"/>
      <c r="Y18" s="174"/>
      <c r="AA18" s="1">
        <f>$G$70</f>
        <v>2347500</v>
      </c>
    </row>
    <row r="19" spans="1:27" ht="12.75">
      <c r="A19" s="93" t="s">
        <v>52</v>
      </c>
      <c r="B19" s="171">
        <v>1500</v>
      </c>
      <c r="C19" s="172">
        <f>325*$C$115</f>
        <v>325</v>
      </c>
      <c r="D19" s="173">
        <v>1</v>
      </c>
      <c r="E19" s="174">
        <f>C19*B19*D19</f>
        <v>487500</v>
      </c>
      <c r="F19" s="171">
        <v>1500</v>
      </c>
      <c r="G19" s="172">
        <f>325*$C$115</f>
        <v>325</v>
      </c>
      <c r="H19" s="173">
        <v>1</v>
      </c>
      <c r="I19" s="174">
        <f>G19*F19*H19</f>
        <v>487500</v>
      </c>
      <c r="J19" s="171">
        <v>1500</v>
      </c>
      <c r="K19" s="172">
        <f>325*$C$115</f>
        <v>325</v>
      </c>
      <c r="L19" s="173">
        <v>1</v>
      </c>
      <c r="M19" s="174">
        <f>K19*J19*L19</f>
        <v>487500</v>
      </c>
      <c r="N19" s="173">
        <v>1500</v>
      </c>
      <c r="O19" s="172">
        <f>325*$C$115</f>
        <v>325</v>
      </c>
      <c r="P19" s="173">
        <v>1</v>
      </c>
      <c r="Q19" s="174">
        <f>O19*N19*P19</f>
        <v>487500</v>
      </c>
      <c r="R19" s="173">
        <v>1500</v>
      </c>
      <c r="S19" s="172">
        <f>325*$C$115</f>
        <v>325</v>
      </c>
      <c r="T19" s="173">
        <v>1</v>
      </c>
      <c r="U19" s="174">
        <f>S19*R19*T19</f>
        <v>487500</v>
      </c>
      <c r="V19" s="171">
        <v>0</v>
      </c>
      <c r="W19" s="172"/>
      <c r="X19" s="173">
        <v>1</v>
      </c>
      <c r="Y19" s="174"/>
      <c r="AA19" s="1">
        <f>$I$70</f>
        <v>2347500</v>
      </c>
    </row>
    <row r="20" spans="1:27" ht="12.75">
      <c r="A20" s="93" t="s">
        <v>53</v>
      </c>
      <c r="B20" s="171"/>
      <c r="C20" s="172"/>
      <c r="D20" s="173"/>
      <c r="E20" s="174"/>
      <c r="F20" s="171"/>
      <c r="G20" s="172"/>
      <c r="H20" s="173"/>
      <c r="I20" s="174"/>
      <c r="J20" s="171"/>
      <c r="K20" s="172"/>
      <c r="L20" s="173"/>
      <c r="M20" s="174"/>
      <c r="N20" s="173"/>
      <c r="O20" s="172"/>
      <c r="P20" s="173"/>
      <c r="Q20" s="174"/>
      <c r="R20" s="173"/>
      <c r="S20" s="172"/>
      <c r="T20" s="173"/>
      <c r="U20" s="174"/>
      <c r="V20" s="171"/>
      <c r="W20" s="172"/>
      <c r="X20" s="173"/>
      <c r="Y20" s="174"/>
      <c r="AA20" s="1">
        <f>$K$70</f>
        <v>6203750</v>
      </c>
    </row>
    <row r="21" spans="1:27" ht="13.5" thickBot="1">
      <c r="A21" s="93" t="s">
        <v>54</v>
      </c>
      <c r="B21" s="175">
        <v>1</v>
      </c>
      <c r="C21" s="176">
        <f>300000*$C$122</f>
        <v>300000</v>
      </c>
      <c r="D21" s="177">
        <v>1</v>
      </c>
      <c r="E21" s="178">
        <f>C21*B21*D21</f>
        <v>300000</v>
      </c>
      <c r="F21" s="175">
        <v>1</v>
      </c>
      <c r="G21" s="176">
        <f>300000*$C$122</f>
        <v>300000</v>
      </c>
      <c r="H21" s="177">
        <v>1</v>
      </c>
      <c r="I21" s="178">
        <f>G21*F21*H21</f>
        <v>300000</v>
      </c>
      <c r="J21" s="175">
        <v>1</v>
      </c>
      <c r="K21" s="176">
        <f>300000*$C$122</f>
        <v>300000</v>
      </c>
      <c r="L21" s="177">
        <v>1</v>
      </c>
      <c r="M21" s="178">
        <f>K21*J21*L21</f>
        <v>300000</v>
      </c>
      <c r="N21" s="177">
        <v>1</v>
      </c>
      <c r="O21" s="176">
        <f>300000*$C$122</f>
        <v>300000</v>
      </c>
      <c r="P21" s="177">
        <v>1</v>
      </c>
      <c r="Q21" s="178">
        <f>O21*N21*P21</f>
        <v>300000</v>
      </c>
      <c r="R21" s="177">
        <v>1</v>
      </c>
      <c r="S21" s="176">
        <f>300000*$C$122</f>
        <v>300000</v>
      </c>
      <c r="T21" s="177">
        <v>1</v>
      </c>
      <c r="U21" s="178">
        <f>S21*R21*T21</f>
        <v>300000</v>
      </c>
      <c r="V21" s="175">
        <v>0</v>
      </c>
      <c r="W21" s="176">
        <f>300000*$C$122</f>
        <v>300000</v>
      </c>
      <c r="X21" s="177">
        <v>1</v>
      </c>
      <c r="Y21" s="178"/>
      <c r="AA21" s="1">
        <f>$M$70</f>
        <v>6953750</v>
      </c>
    </row>
    <row r="22" ht="12" customHeight="1">
      <c r="AA22" s="1">
        <f>$O$70</f>
        <v>7691250</v>
      </c>
    </row>
    <row r="23" ht="13.5" thickBot="1">
      <c r="A23" s="74" t="s">
        <v>55</v>
      </c>
    </row>
    <row r="24" spans="1:25" ht="12.75">
      <c r="A24" s="93" t="s">
        <v>56</v>
      </c>
      <c r="B24" s="167">
        <v>5</v>
      </c>
      <c r="C24" s="179">
        <f>$C$117</f>
        <v>150000</v>
      </c>
      <c r="D24" s="180">
        <v>1</v>
      </c>
      <c r="E24" s="181">
        <f aca="true" t="shared" si="6" ref="E24:E29">C24*B24*D24</f>
        <v>750000</v>
      </c>
      <c r="F24" s="167"/>
      <c r="G24" s="167"/>
      <c r="H24" s="167"/>
      <c r="I24" s="182"/>
      <c r="J24" s="167"/>
      <c r="K24" s="167"/>
      <c r="L24" s="167"/>
      <c r="M24" s="182"/>
      <c r="N24" s="167"/>
      <c r="O24" s="167"/>
      <c r="P24" s="167"/>
      <c r="Q24" s="182"/>
      <c r="R24" s="167"/>
      <c r="S24" s="167"/>
      <c r="T24" s="167"/>
      <c r="U24" s="182"/>
      <c r="V24" s="167"/>
      <c r="W24" s="167"/>
      <c r="X24" s="167"/>
      <c r="Y24" s="182"/>
    </row>
    <row r="25" spans="1:25" ht="12.75">
      <c r="A25" s="93" t="s">
        <v>57</v>
      </c>
      <c r="B25" s="11">
        <v>5</v>
      </c>
      <c r="C25" s="172">
        <f>$C$117</f>
        <v>150000</v>
      </c>
      <c r="D25" s="183">
        <v>1</v>
      </c>
      <c r="E25" s="174">
        <f t="shared" si="6"/>
        <v>750000</v>
      </c>
      <c r="F25" s="11"/>
      <c r="G25" s="11"/>
      <c r="H25" s="11"/>
      <c r="I25" s="12"/>
      <c r="J25" s="11"/>
      <c r="K25" s="11"/>
      <c r="L25" s="11"/>
      <c r="M25" s="12"/>
      <c r="N25" s="11">
        <v>5</v>
      </c>
      <c r="O25" s="172">
        <f>$C$117</f>
        <v>150000</v>
      </c>
      <c r="P25" s="11">
        <v>1</v>
      </c>
      <c r="Q25" s="174">
        <f>O25*N25*P25</f>
        <v>750000</v>
      </c>
      <c r="R25" s="11"/>
      <c r="S25" s="11"/>
      <c r="T25" s="11"/>
      <c r="U25" s="12"/>
      <c r="V25" s="11"/>
      <c r="W25" s="11"/>
      <c r="X25" s="11"/>
      <c r="Y25" s="12"/>
    </row>
    <row r="26" spans="1:25" ht="12.75">
      <c r="A26" s="93" t="s">
        <v>58</v>
      </c>
      <c r="B26" s="11">
        <v>10</v>
      </c>
      <c r="C26" s="172">
        <f>$C$118</f>
        <v>50000</v>
      </c>
      <c r="D26" s="183">
        <v>1</v>
      </c>
      <c r="E26" s="174">
        <f t="shared" si="6"/>
        <v>500000</v>
      </c>
      <c r="F26" s="11"/>
      <c r="G26" s="11"/>
      <c r="H26" s="11"/>
      <c r="I26" s="12"/>
      <c r="J26" s="11"/>
      <c r="K26" s="11"/>
      <c r="L26" s="11"/>
      <c r="M26" s="12"/>
      <c r="N26" s="11"/>
      <c r="O26" s="11"/>
      <c r="P26" s="11"/>
      <c r="Q26" s="12"/>
      <c r="R26" s="11"/>
      <c r="S26" s="11"/>
      <c r="T26" s="11"/>
      <c r="U26" s="12"/>
      <c r="V26" s="11"/>
      <c r="W26" s="11"/>
      <c r="X26" s="11"/>
      <c r="Y26" s="12"/>
    </row>
    <row r="27" spans="1:25" ht="12.75">
      <c r="A27" s="93" t="s">
        <v>59</v>
      </c>
      <c r="B27" s="11">
        <v>5</v>
      </c>
      <c r="C27" s="172">
        <f>$C$119</f>
        <v>10000</v>
      </c>
      <c r="D27" s="183">
        <v>1</v>
      </c>
      <c r="E27" s="174">
        <f t="shared" si="6"/>
        <v>50000</v>
      </c>
      <c r="F27" s="11"/>
      <c r="G27" s="11"/>
      <c r="H27" s="11"/>
      <c r="I27" s="12"/>
      <c r="J27" s="11"/>
      <c r="K27" s="11"/>
      <c r="L27" s="11"/>
      <c r="M27" s="12"/>
      <c r="N27" s="11"/>
      <c r="O27" s="11"/>
      <c r="P27" s="11"/>
      <c r="Q27" s="12"/>
      <c r="R27" s="11"/>
      <c r="S27" s="11"/>
      <c r="T27" s="11"/>
      <c r="U27" s="12"/>
      <c r="V27" s="11">
        <v>5</v>
      </c>
      <c r="W27" s="172">
        <f>$C$119</f>
        <v>10000</v>
      </c>
      <c r="X27" s="11">
        <v>1</v>
      </c>
      <c r="Y27" s="174">
        <f>W27*V27*X27</f>
        <v>50000</v>
      </c>
    </row>
    <row r="28" spans="1:25" ht="12.75">
      <c r="A28" s="93" t="s">
        <v>60</v>
      </c>
      <c r="B28" s="11">
        <v>1</v>
      </c>
      <c r="C28" s="172">
        <f>$C$120</f>
        <v>150000</v>
      </c>
      <c r="D28" s="183">
        <v>1</v>
      </c>
      <c r="E28" s="174">
        <f t="shared" si="6"/>
        <v>150000</v>
      </c>
      <c r="F28" s="11"/>
      <c r="G28" s="11"/>
      <c r="H28" s="11"/>
      <c r="I28" s="12"/>
      <c r="J28" s="11"/>
      <c r="K28" s="11"/>
      <c r="L28" s="11"/>
      <c r="M28" s="12"/>
      <c r="N28" s="11"/>
      <c r="O28" s="11"/>
      <c r="P28" s="11"/>
      <c r="Q28" s="12"/>
      <c r="R28" s="11"/>
      <c r="S28" s="11"/>
      <c r="T28" s="11"/>
      <c r="U28" s="12"/>
      <c r="V28" s="11"/>
      <c r="W28" s="11"/>
      <c r="X28" s="11"/>
      <c r="Y28" s="12"/>
    </row>
    <row r="29" spans="1:25" ht="13.5" thickBot="1">
      <c r="A29" s="93" t="s">
        <v>61</v>
      </c>
      <c r="B29" s="19">
        <v>1</v>
      </c>
      <c r="C29" s="176">
        <f>$C$121</f>
        <v>1000000</v>
      </c>
      <c r="D29" s="184">
        <v>1</v>
      </c>
      <c r="E29" s="178">
        <f t="shared" si="6"/>
        <v>1000000</v>
      </c>
      <c r="F29" s="19"/>
      <c r="G29" s="19"/>
      <c r="H29" s="19"/>
      <c r="I29" s="185"/>
      <c r="J29" s="11"/>
      <c r="K29" s="11"/>
      <c r="L29" s="11"/>
      <c r="M29" s="12"/>
      <c r="N29" s="11"/>
      <c r="O29" s="11"/>
      <c r="P29" s="11"/>
      <c r="Q29" s="12"/>
      <c r="R29" s="11"/>
      <c r="S29" s="11"/>
      <c r="T29" s="11"/>
      <c r="U29" s="12"/>
      <c r="V29" s="11"/>
      <c r="W29" s="11"/>
      <c r="X29" s="11"/>
      <c r="Y29" s="12"/>
    </row>
    <row r="30" spans="1:4" ht="13.5" thickBot="1">
      <c r="A30" s="74" t="s">
        <v>62</v>
      </c>
      <c r="D30" s="15"/>
    </row>
    <row r="31" spans="1:25" ht="12" customHeight="1">
      <c r="A31" s="93" t="s">
        <v>69</v>
      </c>
      <c r="B31" s="167">
        <v>1</v>
      </c>
      <c r="C31" s="179">
        <f>4000000*$C$116</f>
        <v>4000000</v>
      </c>
      <c r="D31" s="180">
        <v>1</v>
      </c>
      <c r="E31" s="181">
        <f>C31*B31*D31</f>
        <v>4000000</v>
      </c>
      <c r="F31" s="167">
        <v>1</v>
      </c>
      <c r="G31" s="179">
        <f>4000000*$C$116</f>
        <v>4000000</v>
      </c>
      <c r="H31" s="180">
        <v>1</v>
      </c>
      <c r="I31" s="181">
        <f>G31*F31*H31</f>
        <v>4000000</v>
      </c>
      <c r="J31" s="167">
        <v>1</v>
      </c>
      <c r="K31" s="179">
        <f>4000000*$C$116</f>
        <v>4000000</v>
      </c>
      <c r="L31" s="180">
        <v>1</v>
      </c>
      <c r="M31" s="181">
        <f>K31*J31*L31</f>
        <v>4000000</v>
      </c>
      <c r="N31" s="167">
        <v>1</v>
      </c>
      <c r="O31" s="179">
        <f>4000000*$C$116</f>
        <v>4000000</v>
      </c>
      <c r="P31" s="180">
        <v>1</v>
      </c>
      <c r="Q31" s="181">
        <f>O31*N31*P31</f>
        <v>4000000</v>
      </c>
      <c r="R31" s="167">
        <v>1</v>
      </c>
      <c r="S31" s="179">
        <f>4000000*$C$116</f>
        <v>4000000</v>
      </c>
      <c r="T31" s="180">
        <v>1</v>
      </c>
      <c r="U31" s="181">
        <f>S31*R31*T31</f>
        <v>4000000</v>
      </c>
      <c r="V31" s="167">
        <v>1</v>
      </c>
      <c r="W31" s="179">
        <f>4000000*$C$116</f>
        <v>4000000</v>
      </c>
      <c r="X31" s="180">
        <v>1</v>
      </c>
      <c r="Y31" s="181">
        <f>W31*V31*X31</f>
        <v>4000000</v>
      </c>
    </row>
    <row r="32" spans="2:25" ht="12" customHeight="1">
      <c r="B32" s="11"/>
      <c r="C32" s="11"/>
      <c r="D32" s="11"/>
      <c r="E32" s="12"/>
      <c r="F32" s="11"/>
      <c r="G32" s="11"/>
      <c r="H32" s="11"/>
      <c r="I32" s="12"/>
      <c r="J32" s="11"/>
      <c r="K32" s="11"/>
      <c r="L32" s="11"/>
      <c r="M32" s="12"/>
      <c r="N32" s="11"/>
      <c r="O32" s="11"/>
      <c r="P32" s="11"/>
      <c r="Q32" s="12"/>
      <c r="R32" s="11"/>
      <c r="S32" s="11"/>
      <c r="T32" s="11"/>
      <c r="U32" s="12"/>
      <c r="V32" s="11"/>
      <c r="W32" s="11"/>
      <c r="X32" s="11"/>
      <c r="Y32" s="12"/>
    </row>
    <row r="33" spans="1:25" ht="12.75">
      <c r="A33" s="74" t="s">
        <v>70</v>
      </c>
      <c r="B33" s="11"/>
      <c r="C33" s="11"/>
      <c r="D33" s="11"/>
      <c r="E33" s="174">
        <f>SUM(E7:E13,E15,E17,E19,E21,E24:E29,E31)</f>
        <v>23952500</v>
      </c>
      <c r="F33" s="11"/>
      <c r="G33" s="11"/>
      <c r="H33" s="11"/>
      <c r="I33" s="174">
        <f>SUM(I7:I13,I15,I17,I19,I21,I24:I29,I31)</f>
        <v>18652500</v>
      </c>
      <c r="J33" s="11"/>
      <c r="K33" s="11"/>
      <c r="L33" s="11"/>
      <c r="M33" s="174">
        <f>SUM(M7:M13,M15,M17,M19,M21,M24:M29,M31)</f>
        <v>18652500</v>
      </c>
      <c r="N33" s="11"/>
      <c r="O33" s="11"/>
      <c r="P33" s="11"/>
      <c r="Q33" s="174">
        <f>SUM(Q7:Q13,Q15,Q17,Q19,Q21,Q24:Q29,Q31)</f>
        <v>14796250</v>
      </c>
      <c r="R33" s="11"/>
      <c r="S33" s="11"/>
      <c r="T33" s="11"/>
      <c r="U33" s="174">
        <f>SUM(U7:U13,U15,U17,U19,U21,U24:U29,U31)</f>
        <v>14046250</v>
      </c>
      <c r="V33" s="11"/>
      <c r="W33" s="11"/>
      <c r="X33" s="11"/>
      <c r="Y33" s="174">
        <f>SUM(Y7:Y13,Y15,Y17,Y19,Y21,Y24:Y29,Y31)</f>
        <v>13308750</v>
      </c>
    </row>
    <row r="34" spans="1:25" ht="12.75">
      <c r="A34" s="74" t="s">
        <v>71</v>
      </c>
      <c r="B34" s="11"/>
      <c r="C34" s="11"/>
      <c r="D34" s="11"/>
      <c r="E34" s="174">
        <f>7500000*$C$123</f>
        <v>7500000</v>
      </c>
      <c r="F34" s="11"/>
      <c r="G34" s="11"/>
      <c r="H34" s="11"/>
      <c r="I34" s="174">
        <f>21000000*$C$123</f>
        <v>21000000</v>
      </c>
      <c r="J34" s="11"/>
      <c r="K34" s="11"/>
      <c r="L34" s="11"/>
      <c r="M34" s="174">
        <f>21000000*$C$123</f>
        <v>21000000</v>
      </c>
      <c r="N34" s="11"/>
      <c r="O34" s="11"/>
      <c r="P34" s="11"/>
      <c r="Q34" s="174">
        <f>21000000*$C$123</f>
        <v>21000000</v>
      </c>
      <c r="R34" s="11"/>
      <c r="S34" s="11"/>
      <c r="T34" s="11"/>
      <c r="U34" s="174">
        <f>21000000*$C$123</f>
        <v>21000000</v>
      </c>
      <c r="V34" s="11"/>
      <c r="W34" s="11"/>
      <c r="X34" s="11"/>
      <c r="Y34" s="174">
        <f>21000000*$C$123</f>
        <v>21000000</v>
      </c>
    </row>
    <row r="35" spans="1:25" ht="13.5" thickBot="1">
      <c r="A35" s="74" t="s">
        <v>72</v>
      </c>
      <c r="B35" s="19"/>
      <c r="C35" s="19"/>
      <c r="D35" s="19"/>
      <c r="E35" s="178">
        <f>E34-E33</f>
        <v>-16452500</v>
      </c>
      <c r="F35" s="19"/>
      <c r="G35" s="19"/>
      <c r="H35" s="19"/>
      <c r="I35" s="178">
        <f>I34-I33</f>
        <v>2347500</v>
      </c>
      <c r="J35" s="19"/>
      <c r="K35" s="19"/>
      <c r="L35" s="19"/>
      <c r="M35" s="178">
        <f>M34-M33</f>
        <v>2347500</v>
      </c>
      <c r="N35" s="19"/>
      <c r="O35" s="19"/>
      <c r="P35" s="19"/>
      <c r="Q35" s="178">
        <f>Q34-Q33</f>
        <v>6203750</v>
      </c>
      <c r="R35" s="19"/>
      <c r="S35" s="19"/>
      <c r="T35" s="19"/>
      <c r="U35" s="178">
        <f>U34-U33</f>
        <v>6953750</v>
      </c>
      <c r="V35" s="19"/>
      <c r="W35" s="19"/>
      <c r="X35" s="19"/>
      <c r="Y35" s="178">
        <f>Y34-Y33</f>
        <v>7691250</v>
      </c>
    </row>
    <row r="36" spans="1:7" ht="12" customHeight="1" thickBot="1">
      <c r="A36" s="2"/>
      <c r="G36" s="7" t="s">
        <v>93</v>
      </c>
    </row>
    <row r="37" spans="5:15" ht="12" customHeight="1">
      <c r="E37" s="9" t="s">
        <v>27</v>
      </c>
      <c r="F37" s="10"/>
      <c r="G37" s="9" t="s">
        <v>28</v>
      </c>
      <c r="H37" s="10"/>
      <c r="I37" s="9" t="s">
        <v>29</v>
      </c>
      <c r="J37" s="10"/>
      <c r="K37" s="9" t="s">
        <v>30</v>
      </c>
      <c r="L37" s="10"/>
      <c r="M37" s="9" t="s">
        <v>31</v>
      </c>
      <c r="N37" s="10"/>
      <c r="O37" s="9" t="s">
        <v>32</v>
      </c>
    </row>
    <row r="38" spans="5:15" ht="12" customHeight="1">
      <c r="E38" s="12"/>
      <c r="G38" s="12"/>
      <c r="I38" s="12"/>
      <c r="K38" s="11"/>
      <c r="M38" s="12"/>
      <c r="O38" s="11"/>
    </row>
    <row r="39" spans="1:15" ht="12.75">
      <c r="A39" s="74" t="s">
        <v>38</v>
      </c>
      <c r="E39" s="12"/>
      <c r="G39" s="12"/>
      <c r="I39" s="12"/>
      <c r="K39" s="12"/>
      <c r="M39" s="12"/>
      <c r="O39" s="12"/>
    </row>
    <row r="40" spans="1:21" ht="12.75">
      <c r="A40" s="84" t="s">
        <v>39</v>
      </c>
      <c r="E40" s="12"/>
      <c r="G40" s="12"/>
      <c r="I40" s="12"/>
      <c r="K40" s="12"/>
      <c r="M40" s="12"/>
      <c r="O40" s="12"/>
      <c r="U40" s="10"/>
    </row>
    <row r="41" spans="1:21" ht="12.75">
      <c r="A41" s="93" t="s">
        <v>40</v>
      </c>
      <c r="E41" s="174">
        <f aca="true" t="shared" si="7" ref="E41:E47">E7</f>
        <v>3000000</v>
      </c>
      <c r="G41" s="174">
        <f aca="true" t="shared" si="8" ref="G41:G47">I7</f>
        <v>3000000</v>
      </c>
      <c r="I41" s="174">
        <f aca="true" t="shared" si="9" ref="I41:I47">M7</f>
        <v>3000000</v>
      </c>
      <c r="K41" s="174">
        <f aca="true" t="shared" si="10" ref="K41:K47">Q7</f>
        <v>3000000</v>
      </c>
      <c r="M41" s="174">
        <f aca="true" t="shared" si="11" ref="M41:M47">U7</f>
        <v>3000000</v>
      </c>
      <c r="O41" s="174">
        <f aca="true" t="shared" si="12" ref="O41:O47">Y7</f>
        <v>3000000</v>
      </c>
      <c r="U41" s="1"/>
    </row>
    <row r="42" spans="1:21" ht="12.75">
      <c r="A42" s="93" t="s">
        <v>41</v>
      </c>
      <c r="E42" s="174">
        <f t="shared" si="7"/>
        <v>1500000</v>
      </c>
      <c r="G42" s="174">
        <f t="shared" si="8"/>
        <v>1500000</v>
      </c>
      <c r="I42" s="174">
        <f t="shared" si="9"/>
        <v>1500000</v>
      </c>
      <c r="K42" s="174">
        <f t="shared" si="10"/>
        <v>1500000</v>
      </c>
      <c r="M42" s="174">
        <f t="shared" si="11"/>
        <v>1500000</v>
      </c>
      <c r="O42" s="174">
        <f t="shared" si="12"/>
        <v>1500000</v>
      </c>
      <c r="U42" s="1"/>
    </row>
    <row r="43" spans="1:21" ht="12.75">
      <c r="A43" s="93" t="s">
        <v>42</v>
      </c>
      <c r="E43" s="174">
        <f t="shared" si="7"/>
        <v>1140000</v>
      </c>
      <c r="G43" s="174">
        <f t="shared" si="8"/>
        <v>1140000</v>
      </c>
      <c r="I43" s="174">
        <f t="shared" si="9"/>
        <v>1140000</v>
      </c>
      <c r="K43" s="174">
        <f t="shared" si="10"/>
        <v>1140000</v>
      </c>
      <c r="M43" s="174">
        <f t="shared" si="11"/>
        <v>1140000</v>
      </c>
      <c r="O43" s="174">
        <f t="shared" si="12"/>
        <v>1140000</v>
      </c>
      <c r="U43" s="1"/>
    </row>
    <row r="44" spans="1:21" ht="12.75">
      <c r="A44" s="93" t="s">
        <v>43</v>
      </c>
      <c r="E44" s="174">
        <f t="shared" si="7"/>
        <v>2100000</v>
      </c>
      <c r="G44" s="12">
        <f t="shared" si="8"/>
        <v>0</v>
      </c>
      <c r="I44" s="12">
        <f t="shared" si="9"/>
        <v>0</v>
      </c>
      <c r="K44" s="12">
        <f t="shared" si="10"/>
        <v>0</v>
      </c>
      <c r="M44" s="12">
        <f t="shared" si="11"/>
        <v>0</v>
      </c>
      <c r="O44" s="12">
        <f t="shared" si="12"/>
        <v>0</v>
      </c>
      <c r="U44" s="1"/>
    </row>
    <row r="45" spans="1:21" ht="12.75">
      <c r="A45" s="93" t="s">
        <v>44</v>
      </c>
      <c r="E45" s="174">
        <f t="shared" si="7"/>
        <v>4200000</v>
      </c>
      <c r="G45" s="174">
        <f t="shared" si="8"/>
        <v>4200000</v>
      </c>
      <c r="I45" s="174">
        <f t="shared" si="9"/>
        <v>4200000</v>
      </c>
      <c r="K45" s="12">
        <f t="shared" si="10"/>
        <v>0</v>
      </c>
      <c r="M45" s="12">
        <f t="shared" si="11"/>
        <v>0</v>
      </c>
      <c r="O45" s="12">
        <f t="shared" si="12"/>
        <v>0</v>
      </c>
      <c r="U45" s="1"/>
    </row>
    <row r="46" spans="1:21" ht="12.75">
      <c r="A46" s="93" t="s">
        <v>45</v>
      </c>
      <c r="E46" s="174">
        <f t="shared" si="7"/>
        <v>1500000</v>
      </c>
      <c r="G46" s="174">
        <f t="shared" si="8"/>
        <v>1500000</v>
      </c>
      <c r="I46" s="174">
        <f t="shared" si="9"/>
        <v>1500000</v>
      </c>
      <c r="K46" s="174">
        <f t="shared" si="10"/>
        <v>1500000</v>
      </c>
      <c r="M46" s="174">
        <f t="shared" si="11"/>
        <v>1500000</v>
      </c>
      <c r="O46" s="174">
        <f t="shared" si="12"/>
        <v>1500000</v>
      </c>
      <c r="U46" s="1"/>
    </row>
    <row r="47" spans="1:15" ht="12.75">
      <c r="A47" s="93" t="s">
        <v>46</v>
      </c>
      <c r="E47" s="174">
        <f t="shared" si="7"/>
        <v>900000</v>
      </c>
      <c r="G47" s="174">
        <f t="shared" si="8"/>
        <v>900000</v>
      </c>
      <c r="I47" s="174">
        <f t="shared" si="9"/>
        <v>900000</v>
      </c>
      <c r="K47" s="174">
        <f t="shared" si="10"/>
        <v>900000</v>
      </c>
      <c r="M47" s="174">
        <f t="shared" si="11"/>
        <v>900000</v>
      </c>
      <c r="O47" s="174">
        <f t="shared" si="12"/>
        <v>900000</v>
      </c>
    </row>
    <row r="48" spans="1:15" ht="12.75">
      <c r="A48" s="93" t="s">
        <v>47</v>
      </c>
      <c r="E48" s="12"/>
      <c r="G48" s="12"/>
      <c r="I48" s="12"/>
      <c r="K48" s="12"/>
      <c r="M48" s="12"/>
      <c r="O48" s="12"/>
    </row>
    <row r="49" spans="1:15" ht="12.75">
      <c r="A49" s="93" t="s">
        <v>48</v>
      </c>
      <c r="E49" s="174">
        <f>E15</f>
        <v>406250</v>
      </c>
      <c r="G49" s="174">
        <f>I15</f>
        <v>406250</v>
      </c>
      <c r="I49" s="174">
        <f>M15</f>
        <v>406250</v>
      </c>
      <c r="K49" s="12">
        <f>Q15</f>
        <v>0</v>
      </c>
      <c r="M49" s="12">
        <f>U15</f>
        <v>0</v>
      </c>
      <c r="O49" s="12">
        <f>Y15</f>
        <v>0</v>
      </c>
    </row>
    <row r="50" spans="1:15" ht="12.75">
      <c r="A50" s="93" t="s">
        <v>49</v>
      </c>
      <c r="E50" s="12"/>
      <c r="G50" s="12"/>
      <c r="I50" s="12"/>
      <c r="K50" s="12"/>
      <c r="M50" s="12"/>
      <c r="O50" s="12"/>
    </row>
    <row r="51" spans="1:15" ht="12.75">
      <c r="A51" s="93" t="s">
        <v>50</v>
      </c>
      <c r="E51" s="174">
        <f>E17</f>
        <v>1218750</v>
      </c>
      <c r="G51" s="174">
        <f>I17</f>
        <v>1218750</v>
      </c>
      <c r="I51" s="174">
        <f>M17</f>
        <v>1218750</v>
      </c>
      <c r="K51" s="174">
        <f>Q17</f>
        <v>1218750</v>
      </c>
      <c r="M51" s="174">
        <f>U17</f>
        <v>1218750</v>
      </c>
      <c r="O51" s="174">
        <f>Y17</f>
        <v>1218750</v>
      </c>
    </row>
    <row r="52" spans="1:15" ht="12.75">
      <c r="A52" s="93" t="s">
        <v>51</v>
      </c>
      <c r="E52" s="12"/>
      <c r="G52" s="12"/>
      <c r="I52" s="12"/>
      <c r="K52" s="12"/>
      <c r="M52" s="12"/>
      <c r="O52" s="12"/>
    </row>
    <row r="53" spans="1:15" ht="12.75">
      <c r="A53" s="93" t="s">
        <v>52</v>
      </c>
      <c r="E53" s="174">
        <f>E19</f>
        <v>487500</v>
      </c>
      <c r="G53" s="174">
        <f>I19</f>
        <v>487500</v>
      </c>
      <c r="I53" s="174">
        <f>M19</f>
        <v>487500</v>
      </c>
      <c r="K53" s="174">
        <f>Q19</f>
        <v>487500</v>
      </c>
      <c r="M53" s="174">
        <f>U19</f>
        <v>487500</v>
      </c>
      <c r="O53" s="12">
        <f>Y19</f>
        <v>0</v>
      </c>
    </row>
    <row r="54" spans="1:15" ht="12.75">
      <c r="A54" s="93" t="s">
        <v>53</v>
      </c>
      <c r="E54" s="12"/>
      <c r="G54" s="12"/>
      <c r="I54" s="12"/>
      <c r="K54" s="12"/>
      <c r="M54" s="12"/>
      <c r="O54" s="12"/>
    </row>
    <row r="55" spans="1:15" ht="12.75">
      <c r="A55" s="93" t="s">
        <v>54</v>
      </c>
      <c r="E55" s="174">
        <f>E21</f>
        <v>300000</v>
      </c>
      <c r="G55" s="174">
        <f>I21</f>
        <v>300000</v>
      </c>
      <c r="I55" s="174">
        <f>M21</f>
        <v>300000</v>
      </c>
      <c r="K55" s="174">
        <f>Q21</f>
        <v>300000</v>
      </c>
      <c r="M55" s="174">
        <f>U21</f>
        <v>300000</v>
      </c>
      <c r="O55" s="12">
        <f>Y21</f>
        <v>0</v>
      </c>
    </row>
    <row r="56" spans="5:15" ht="12" customHeight="1">
      <c r="E56" s="12"/>
      <c r="G56" s="12"/>
      <c r="I56" s="12"/>
      <c r="K56" s="12"/>
      <c r="M56" s="12"/>
      <c r="O56" s="12"/>
    </row>
    <row r="57" spans="1:15" ht="12.75">
      <c r="A57" s="74" t="s">
        <v>55</v>
      </c>
      <c r="E57" s="12"/>
      <c r="G57" s="12"/>
      <c r="I57" s="12"/>
      <c r="K57" s="12"/>
      <c r="M57" s="12"/>
      <c r="O57" s="12"/>
    </row>
    <row r="58" spans="1:15" ht="12.75">
      <c r="A58" s="93" t="s">
        <v>56</v>
      </c>
      <c r="E58" s="174">
        <f aca="true" t="shared" si="13" ref="E58:E63">E24</f>
        <v>750000</v>
      </c>
      <c r="G58" s="12"/>
      <c r="I58" s="12"/>
      <c r="K58" s="174">
        <f>Q25</f>
        <v>750000</v>
      </c>
      <c r="M58" s="12"/>
      <c r="O58" s="12"/>
    </row>
    <row r="59" spans="1:15" ht="12.75">
      <c r="A59" s="93" t="s">
        <v>57</v>
      </c>
      <c r="E59" s="174">
        <f t="shared" si="13"/>
        <v>750000</v>
      </c>
      <c r="G59" s="12"/>
      <c r="I59" s="12"/>
      <c r="K59" s="12"/>
      <c r="M59" s="12"/>
      <c r="O59" s="12"/>
    </row>
    <row r="60" spans="1:15" ht="12.75">
      <c r="A60" s="93" t="s">
        <v>58</v>
      </c>
      <c r="E60" s="174">
        <f t="shared" si="13"/>
        <v>500000</v>
      </c>
      <c r="G60" s="12"/>
      <c r="I60" s="12"/>
      <c r="K60" s="12"/>
      <c r="M60" s="12"/>
      <c r="O60" s="12"/>
    </row>
    <row r="61" spans="1:15" ht="12.75">
      <c r="A61" s="93" t="s">
        <v>59</v>
      </c>
      <c r="E61" s="174">
        <f t="shared" si="13"/>
        <v>50000</v>
      </c>
      <c r="G61" s="12"/>
      <c r="I61" s="12"/>
      <c r="K61" s="12"/>
      <c r="M61" s="12"/>
      <c r="O61" s="174">
        <f>Y27</f>
        <v>50000</v>
      </c>
    </row>
    <row r="62" spans="1:15" ht="12.75">
      <c r="A62" s="93" t="s">
        <v>60</v>
      </c>
      <c r="E62" s="174">
        <f t="shared" si="13"/>
        <v>150000</v>
      </c>
      <c r="G62" s="12"/>
      <c r="I62" s="12"/>
      <c r="K62" s="12"/>
      <c r="M62" s="12"/>
      <c r="O62" s="12"/>
    </row>
    <row r="63" spans="1:15" ht="12.75">
      <c r="A63" s="93" t="s">
        <v>61</v>
      </c>
      <c r="E63" s="174">
        <f t="shared" si="13"/>
        <v>1000000</v>
      </c>
      <c r="G63" s="12"/>
      <c r="I63" s="12"/>
      <c r="K63" s="12"/>
      <c r="M63" s="12"/>
      <c r="O63" s="12"/>
    </row>
    <row r="64" spans="5:15" ht="12" customHeight="1">
      <c r="E64" s="12"/>
      <c r="G64" s="12"/>
      <c r="I64" s="12"/>
      <c r="K64" s="12"/>
      <c r="M64" s="12"/>
      <c r="O64" s="12"/>
    </row>
    <row r="65" spans="1:15" ht="12.75">
      <c r="A65" s="74" t="s">
        <v>62</v>
      </c>
      <c r="E65" s="12"/>
      <c r="G65" s="12"/>
      <c r="I65" s="12"/>
      <c r="K65" s="12"/>
      <c r="M65" s="12"/>
      <c r="O65" s="12"/>
    </row>
    <row r="66" spans="1:15" ht="12.75">
      <c r="A66" s="93" t="s">
        <v>69</v>
      </c>
      <c r="E66" s="174">
        <f>E31</f>
        <v>4000000</v>
      </c>
      <c r="G66" s="174">
        <f>I31</f>
        <v>4000000</v>
      </c>
      <c r="I66" s="174">
        <f>M31</f>
        <v>4000000</v>
      </c>
      <c r="K66" s="174">
        <f>Q31</f>
        <v>4000000</v>
      </c>
      <c r="M66" s="174">
        <f>U31</f>
        <v>4000000</v>
      </c>
      <c r="O66" s="174">
        <f>Y31</f>
        <v>4000000</v>
      </c>
    </row>
    <row r="67" spans="5:15" ht="12" customHeight="1">
      <c r="E67" s="12"/>
      <c r="G67" s="12"/>
      <c r="I67" s="12"/>
      <c r="K67" s="12"/>
      <c r="M67" s="12"/>
      <c r="O67" s="12"/>
    </row>
    <row r="68" spans="1:15" ht="13.5" thickBot="1">
      <c r="A68" s="74" t="s">
        <v>70</v>
      </c>
      <c r="E68" s="174">
        <f>E33</f>
        <v>23952500</v>
      </c>
      <c r="G68" s="174">
        <f>I33</f>
        <v>18652500</v>
      </c>
      <c r="I68" s="174">
        <f>M33</f>
        <v>18652500</v>
      </c>
      <c r="K68" s="174">
        <f>Q33</f>
        <v>14796250</v>
      </c>
      <c r="M68" s="174">
        <f>U33</f>
        <v>14046250</v>
      </c>
      <c r="O68" s="174">
        <f>Y33</f>
        <v>13308750</v>
      </c>
    </row>
    <row r="69" spans="1:15" ht="13.5" thickBot="1">
      <c r="A69" s="74" t="s">
        <v>71</v>
      </c>
      <c r="D69" s="186"/>
      <c r="E69" s="187">
        <f>E34</f>
        <v>7500000</v>
      </c>
      <c r="F69" s="186"/>
      <c r="G69" s="187">
        <f>I34</f>
        <v>21000000</v>
      </c>
      <c r="H69" s="186"/>
      <c r="I69" s="187">
        <f>M34</f>
        <v>21000000</v>
      </c>
      <c r="J69" s="186"/>
      <c r="K69" s="187">
        <f>Q34</f>
        <v>21000000</v>
      </c>
      <c r="L69" s="186"/>
      <c r="M69" s="187">
        <f>U34</f>
        <v>21000000</v>
      </c>
      <c r="N69" s="186"/>
      <c r="O69" s="174">
        <f>Y34</f>
        <v>21000000</v>
      </c>
    </row>
    <row r="70" spans="1:15" ht="13.5" thickBot="1">
      <c r="A70" s="74" t="s">
        <v>72</v>
      </c>
      <c r="E70" s="178">
        <f>E35</f>
        <v>-16452500</v>
      </c>
      <c r="G70" s="178">
        <f>I35</f>
        <v>2347500</v>
      </c>
      <c r="I70" s="174">
        <f>M35</f>
        <v>2347500</v>
      </c>
      <c r="K70" s="178">
        <f>Q35</f>
        <v>6203750</v>
      </c>
      <c r="M70" s="178">
        <f>U35</f>
        <v>6953750</v>
      </c>
      <c r="O70" s="178">
        <f>Y35</f>
        <v>7691250</v>
      </c>
    </row>
    <row r="71" spans="1:15" ht="12" customHeight="1">
      <c r="A71" s="2"/>
      <c r="E71" s="188"/>
      <c r="G71" s="188"/>
      <c r="I71" s="188"/>
      <c r="K71" s="188"/>
      <c r="M71" s="188"/>
      <c r="O71" s="188"/>
    </row>
    <row r="72" spans="1:15" ht="12" customHeight="1">
      <c r="A72" s="2"/>
      <c r="E72" s="188"/>
      <c r="G72" s="188"/>
      <c r="I72" s="188"/>
      <c r="K72" s="188"/>
      <c r="M72" s="188"/>
      <c r="O72" s="188"/>
    </row>
    <row r="73" spans="1:15" ht="12" customHeight="1">
      <c r="A73" s="2"/>
      <c r="E73" s="188"/>
      <c r="G73" s="188"/>
      <c r="I73" s="188"/>
      <c r="K73" s="188"/>
      <c r="M73" s="188"/>
      <c r="O73" s="188"/>
    </row>
    <row r="74" spans="1:15" ht="12" customHeight="1">
      <c r="A74" s="2"/>
      <c r="E74" s="188"/>
      <c r="G74" s="188"/>
      <c r="I74" s="188"/>
      <c r="K74" s="188"/>
      <c r="M74" s="188"/>
      <c r="O74" s="188"/>
    </row>
    <row r="75" spans="1:15" ht="12" customHeight="1">
      <c r="A75" s="2"/>
      <c r="E75" s="188"/>
      <c r="G75" s="188"/>
      <c r="I75" s="188"/>
      <c r="K75" s="188"/>
      <c r="M75" s="188"/>
      <c r="O75" s="188"/>
    </row>
    <row r="76" spans="1:15" ht="12" customHeight="1">
      <c r="A76" s="2"/>
      <c r="E76" s="188"/>
      <c r="G76" s="188"/>
      <c r="I76" s="188"/>
      <c r="K76" s="188"/>
      <c r="M76" s="188"/>
      <c r="O76" s="188"/>
    </row>
    <row r="77" spans="1:15" ht="12" customHeight="1">
      <c r="A77" s="2"/>
      <c r="E77" s="188"/>
      <c r="G77" s="188"/>
      <c r="I77" s="188"/>
      <c r="K77" s="188"/>
      <c r="M77" s="188"/>
      <c r="O77" s="188"/>
    </row>
    <row r="78" spans="1:15" ht="12" customHeight="1">
      <c r="A78" s="2"/>
      <c r="E78" s="188"/>
      <c r="G78" s="188"/>
      <c r="I78" s="188"/>
      <c r="K78" s="188"/>
      <c r="M78" s="188"/>
      <c r="O78" s="188"/>
    </row>
    <row r="79" spans="1:15" ht="12" customHeight="1">
      <c r="A79" s="2"/>
      <c r="E79" s="188"/>
      <c r="G79" s="188"/>
      <c r="I79" s="188"/>
      <c r="K79" s="188"/>
      <c r="M79" s="188"/>
      <c r="O79" s="188"/>
    </row>
    <row r="80" spans="1:15" ht="12" customHeight="1">
      <c r="A80" s="2"/>
      <c r="E80" s="188"/>
      <c r="G80" s="188"/>
      <c r="I80" s="188"/>
      <c r="K80" s="188"/>
      <c r="M80" s="188"/>
      <c r="O80" s="188"/>
    </row>
    <row r="81" spans="1:15" ht="12" customHeight="1">
      <c r="A81" s="2"/>
      <c r="E81" s="188"/>
      <c r="G81" s="188"/>
      <c r="I81" s="188"/>
      <c r="K81" s="188"/>
      <c r="M81" s="188"/>
      <c r="O81" s="188"/>
    </row>
    <row r="82" spans="1:15" ht="12" customHeight="1">
      <c r="A82" s="2"/>
      <c r="E82" s="188"/>
      <c r="G82" s="188"/>
      <c r="I82" s="188"/>
      <c r="K82" s="188"/>
      <c r="M82" s="188"/>
      <c r="O82" s="188"/>
    </row>
    <row r="83" spans="1:15" ht="12" customHeight="1">
      <c r="A83" s="2"/>
      <c r="E83" s="188"/>
      <c r="G83" s="188"/>
      <c r="I83" s="188"/>
      <c r="K83" s="188"/>
      <c r="M83" s="188"/>
      <c r="O83" s="188"/>
    </row>
    <row r="84" spans="1:15" ht="12" customHeight="1">
      <c r="A84" s="2"/>
      <c r="E84" s="188"/>
      <c r="G84" s="188"/>
      <c r="I84" s="188"/>
      <c r="K84" s="188"/>
      <c r="M84" s="188"/>
      <c r="O84" s="188"/>
    </row>
    <row r="85" spans="1:15" ht="12" customHeight="1">
      <c r="A85" s="2"/>
      <c r="E85" s="188"/>
      <c r="G85" s="188"/>
      <c r="I85" s="188"/>
      <c r="K85" s="188"/>
      <c r="M85" s="188"/>
      <c r="O85" s="188"/>
    </row>
    <row r="86" spans="1:15" ht="12" customHeight="1">
      <c r="A86" s="2"/>
      <c r="E86" s="188"/>
      <c r="G86" s="188"/>
      <c r="I86" s="188"/>
      <c r="K86" s="188"/>
      <c r="M86" s="188"/>
      <c r="O86" s="188"/>
    </row>
    <row r="87" spans="1:15" ht="12" customHeight="1">
      <c r="A87" s="2"/>
      <c r="E87" s="188"/>
      <c r="G87" s="188"/>
      <c r="I87" s="188"/>
      <c r="K87" s="188"/>
      <c r="M87" s="188"/>
      <c r="O87" s="188"/>
    </row>
    <row r="88" spans="1:15" ht="12" customHeight="1">
      <c r="A88" s="2"/>
      <c r="E88" s="188"/>
      <c r="G88" s="188"/>
      <c r="I88" s="188"/>
      <c r="K88" s="188"/>
      <c r="M88" s="188"/>
      <c r="O88" s="188"/>
    </row>
    <row r="89" spans="1:15" ht="12" customHeight="1">
      <c r="A89" s="2"/>
      <c r="E89" s="188"/>
      <c r="G89" s="188"/>
      <c r="I89" s="188"/>
      <c r="K89" s="188"/>
      <c r="M89" s="188"/>
      <c r="O89" s="188"/>
    </row>
    <row r="90" spans="1:15" ht="12" customHeight="1">
      <c r="A90" s="2"/>
      <c r="E90" s="188"/>
      <c r="G90" s="188"/>
      <c r="I90" s="188"/>
      <c r="K90" s="188"/>
      <c r="M90" s="188"/>
      <c r="O90" s="188"/>
    </row>
    <row r="91" spans="1:15" ht="12" customHeight="1">
      <c r="A91" s="2"/>
      <c r="E91" s="188"/>
      <c r="G91" s="188"/>
      <c r="I91" s="188"/>
      <c r="K91" s="188"/>
      <c r="M91" s="188"/>
      <c r="O91" s="188"/>
    </row>
    <row r="92" spans="1:15" ht="12" customHeight="1">
      <c r="A92" s="2"/>
      <c r="E92" s="188"/>
      <c r="G92" s="188"/>
      <c r="I92" s="188"/>
      <c r="K92" s="188"/>
      <c r="M92" s="188"/>
      <c r="O92" s="188"/>
    </row>
    <row r="93" spans="1:15" ht="12" customHeight="1">
      <c r="A93" s="2"/>
      <c r="E93" s="188"/>
      <c r="G93" s="188"/>
      <c r="I93" s="188"/>
      <c r="K93" s="188"/>
      <c r="M93" s="188"/>
      <c r="O93" s="188"/>
    </row>
    <row r="94" spans="1:15" ht="12" customHeight="1">
      <c r="A94" s="2"/>
      <c r="E94" s="188"/>
      <c r="G94" s="188"/>
      <c r="I94" s="188"/>
      <c r="K94" s="188"/>
      <c r="M94" s="188"/>
      <c r="O94" s="188"/>
    </row>
    <row r="95" spans="1:15" ht="12" customHeight="1">
      <c r="A95" s="2"/>
      <c r="E95" s="188"/>
      <c r="G95" s="188"/>
      <c r="I95" s="188"/>
      <c r="K95" s="188"/>
      <c r="M95" s="188"/>
      <c r="O95" s="188"/>
    </row>
    <row r="96" spans="1:15" ht="12" customHeight="1">
      <c r="A96" s="2"/>
      <c r="E96" s="188"/>
      <c r="G96" s="188"/>
      <c r="I96" s="188"/>
      <c r="K96" s="188"/>
      <c r="M96" s="188"/>
      <c r="O96" s="188"/>
    </row>
    <row r="97" spans="1:15" ht="12" customHeight="1">
      <c r="A97" s="2"/>
      <c r="E97" s="188"/>
      <c r="G97" s="188"/>
      <c r="I97" s="188"/>
      <c r="K97" s="188"/>
      <c r="M97" s="188"/>
      <c r="O97" s="188"/>
    </row>
    <row r="98" spans="1:15" ht="12" customHeight="1">
      <c r="A98" s="2"/>
      <c r="E98" s="188"/>
      <c r="G98" s="188"/>
      <c r="I98" s="188"/>
      <c r="K98" s="188"/>
      <c r="M98" s="188"/>
      <c r="O98" s="188"/>
    </row>
    <row r="99" spans="1:15" ht="12" customHeight="1">
      <c r="A99" s="2"/>
      <c r="E99" s="188"/>
      <c r="G99" s="188"/>
      <c r="I99" s="188"/>
      <c r="K99" s="188"/>
      <c r="M99" s="188"/>
      <c r="O99" s="188"/>
    </row>
    <row r="100" spans="1:15" ht="12" customHeight="1">
      <c r="A100" s="2"/>
      <c r="E100" s="188"/>
      <c r="G100" s="188"/>
      <c r="I100" s="188"/>
      <c r="K100" s="188"/>
      <c r="M100" s="188"/>
      <c r="O100" s="188"/>
    </row>
    <row r="101" spans="1:15" ht="12" customHeight="1" thickBot="1">
      <c r="A101" s="2"/>
      <c r="E101" s="188"/>
      <c r="G101" s="188"/>
      <c r="I101" s="188"/>
      <c r="K101" s="188"/>
      <c r="M101" s="188"/>
      <c r="O101" s="188"/>
    </row>
    <row r="102" spans="1:9" ht="15.75" customHeight="1" thickBot="1">
      <c r="A102" s="189" t="s">
        <v>4</v>
      </c>
      <c r="I102"/>
    </row>
    <row r="103" spans="1:15" ht="12.75" customHeight="1" thickBot="1">
      <c r="A103" s="16" t="s">
        <v>94</v>
      </c>
      <c r="B103" s="30"/>
      <c r="C103" s="190">
        <f>$C$113</f>
        <v>0.1</v>
      </c>
      <c r="E103" s="7">
        <v>0</v>
      </c>
      <c r="F103" s="7"/>
      <c r="G103" s="7">
        <v>1</v>
      </c>
      <c r="H103" s="7"/>
      <c r="I103" s="7">
        <v>2</v>
      </c>
      <c r="J103" s="7"/>
      <c r="K103" s="7">
        <v>3</v>
      </c>
      <c r="L103" s="7"/>
      <c r="M103" s="7">
        <v>4</v>
      </c>
      <c r="N103" s="7"/>
      <c r="O103" s="7">
        <v>5</v>
      </c>
    </row>
    <row r="104" spans="1:25" s="10" customFormat="1" ht="12.75" customHeight="1">
      <c r="A104" s="16" t="s">
        <v>11</v>
      </c>
      <c r="B104" s="191"/>
      <c r="C104" s="191"/>
      <c r="E104" s="192">
        <f>1/(1+$C$103)^0</f>
        <v>1</v>
      </c>
      <c r="F104" s="193"/>
      <c r="G104" s="192">
        <f>1/(1+$C$103)^1</f>
        <v>0.9090909090909091</v>
      </c>
      <c r="H104" s="193"/>
      <c r="I104" s="192">
        <f>1/(1+$C$103)^2</f>
        <v>0.8264462809917354</v>
      </c>
      <c r="J104" s="193"/>
      <c r="K104" s="192">
        <f>1/(1+$C$103)^3</f>
        <v>0.7513148009015775</v>
      </c>
      <c r="L104" s="193"/>
      <c r="M104" s="192">
        <f>1/(1+$C$103)^4</f>
        <v>0.6830134553650705</v>
      </c>
      <c r="N104" s="193"/>
      <c r="O104" s="192">
        <f>1/(1+$C$103)^5</f>
        <v>0.6209213230591549</v>
      </c>
      <c r="Q104" s="7"/>
      <c r="U104" s="7"/>
      <c r="Y104" s="7"/>
    </row>
    <row r="105" spans="1:15" ht="12.75" customHeight="1" thickBot="1">
      <c r="A105" s="17" t="s">
        <v>95</v>
      </c>
      <c r="C105" s="15"/>
      <c r="D105" s="35"/>
      <c r="E105" s="174">
        <f>E68*E104</f>
        <v>23952500</v>
      </c>
      <c r="F105" s="15"/>
      <c r="G105" s="174">
        <f>G68*G104</f>
        <v>16956818.18181818</v>
      </c>
      <c r="H105" s="15"/>
      <c r="I105" s="174">
        <f>I68*I104</f>
        <v>15415289.256198345</v>
      </c>
      <c r="J105" s="15"/>
      <c r="K105" s="174">
        <f>K68*K104</f>
        <v>11116641.622839967</v>
      </c>
      <c r="L105" s="15"/>
      <c r="M105" s="174">
        <f>M68*M104</f>
        <v>9593777.747421622</v>
      </c>
      <c r="N105" s="15"/>
      <c r="O105" s="174">
        <f>O68*O104</f>
        <v>8263686.658263528</v>
      </c>
    </row>
    <row r="106" spans="1:15" ht="12.75" customHeight="1" thickBot="1">
      <c r="A106" s="17" t="s">
        <v>96</v>
      </c>
      <c r="C106" s="65">
        <f>SUM(E105,G105,I105,K105,M105,O105)</f>
        <v>85298713.46654165</v>
      </c>
      <c r="D106" s="35"/>
      <c r="E106" s="194"/>
      <c r="F106" s="35"/>
      <c r="G106" s="194"/>
      <c r="H106" s="35"/>
      <c r="I106" s="194"/>
      <c r="J106" s="35"/>
      <c r="K106" s="194"/>
      <c r="L106" s="35"/>
      <c r="M106" s="194"/>
      <c r="N106" s="35"/>
      <c r="O106" s="194"/>
    </row>
    <row r="107" spans="1:15" ht="12.75" customHeight="1" thickBot="1">
      <c r="A107" s="17" t="s">
        <v>97</v>
      </c>
      <c r="C107" s="195"/>
      <c r="D107" s="196"/>
      <c r="E107" s="178">
        <f>E104*E69</f>
        <v>7500000</v>
      </c>
      <c r="F107" s="197"/>
      <c r="G107" s="178">
        <f>G104*G69</f>
        <v>19090909.09090909</v>
      </c>
      <c r="H107" s="197"/>
      <c r="I107" s="178">
        <f>I104*I69</f>
        <v>17355371.900826443</v>
      </c>
      <c r="J107" s="197"/>
      <c r="K107" s="178">
        <f>K104*K69</f>
        <v>15777610.818933127</v>
      </c>
      <c r="L107" s="197"/>
      <c r="M107" s="178">
        <f>M104*M69</f>
        <v>14343282.562666481</v>
      </c>
      <c r="N107" s="197"/>
      <c r="O107" s="178">
        <f>O104*O69</f>
        <v>13039347.784242254</v>
      </c>
    </row>
    <row r="108" spans="1:15" ht="12.75" customHeight="1" thickBot="1">
      <c r="A108" s="17" t="s">
        <v>98</v>
      </c>
      <c r="C108" s="65">
        <f>SUM(E107,G107,I107,K107,M107,O107)</f>
        <v>87106522.1575774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2.75" customHeight="1" thickBot="1">
      <c r="A109" s="16" t="s">
        <v>79</v>
      </c>
      <c r="B109" s="198"/>
      <c r="C109" s="199">
        <f>C108-C106</f>
        <v>1807808.6910357475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2.75" customHeight="1" thickBot="1">
      <c r="A110" s="16" t="s">
        <v>99</v>
      </c>
      <c r="B110" s="198"/>
      <c r="C110" s="200">
        <f>C108/C106</f>
        <v>1.021193856478795</v>
      </c>
      <c r="D110" s="15"/>
      <c r="E110" s="35"/>
      <c r="F110" s="15"/>
      <c r="G110" s="15"/>
      <c r="H110" s="15"/>
      <c r="I110" s="35"/>
      <c r="J110" s="15"/>
      <c r="K110" s="15"/>
      <c r="L110" s="15"/>
      <c r="M110" s="35"/>
      <c r="N110" s="15"/>
      <c r="O110" s="15"/>
    </row>
    <row r="111" spans="1:3" ht="12.75" customHeight="1" thickBot="1">
      <c r="A111" s="16" t="s">
        <v>100</v>
      </c>
      <c r="B111" s="198"/>
      <c r="C111" s="201">
        <f>IRR(AA17:AA22)</f>
        <v>0.1340746337474012</v>
      </c>
    </row>
    <row r="112" spans="1:8" ht="12.75" customHeight="1" thickBot="1">
      <c r="A112" s="2" t="s">
        <v>101</v>
      </c>
      <c r="F112" s="1">
        <v>0</v>
      </c>
      <c r="G112" s="202">
        <f>E105</f>
        <v>23952500</v>
      </c>
      <c r="H112" s="202">
        <f>E107</f>
        <v>7500000</v>
      </c>
    </row>
    <row r="113" spans="1:8" ht="12.75" customHeight="1" thickBot="1">
      <c r="A113" s="16" t="s">
        <v>102</v>
      </c>
      <c r="C113" s="31">
        <v>0.1</v>
      </c>
      <c r="F113" s="1">
        <v>1</v>
      </c>
      <c r="G113" s="202">
        <f>G105</f>
        <v>16956818.18181818</v>
      </c>
      <c r="H113" s="202">
        <f>G107</f>
        <v>19090909.09090909</v>
      </c>
    </row>
    <row r="114" spans="1:8" ht="12.75" customHeight="1" thickBot="1">
      <c r="A114" s="16" t="s">
        <v>103</v>
      </c>
      <c r="C114" s="38">
        <v>1</v>
      </c>
      <c r="F114" s="1">
        <v>2</v>
      </c>
      <c r="G114" s="202">
        <f>I105</f>
        <v>15415289.256198345</v>
      </c>
      <c r="H114" s="202">
        <f>I107</f>
        <v>17355371.900826443</v>
      </c>
    </row>
    <row r="115" spans="1:8" ht="12.75" customHeight="1" thickBot="1">
      <c r="A115" s="16" t="s">
        <v>104</v>
      </c>
      <c r="C115" s="38">
        <v>1</v>
      </c>
      <c r="F115" s="1">
        <v>3</v>
      </c>
      <c r="G115" s="202">
        <f>K105</f>
        <v>11116641.622839967</v>
      </c>
      <c r="H115" s="202">
        <f>K107</f>
        <v>15777610.818933127</v>
      </c>
    </row>
    <row r="116" spans="1:8" ht="12.75" customHeight="1" thickBot="1">
      <c r="A116" s="16" t="s">
        <v>105</v>
      </c>
      <c r="C116" s="38">
        <v>1</v>
      </c>
      <c r="F116" s="1">
        <v>4</v>
      </c>
      <c r="G116" s="202">
        <f>M105</f>
        <v>9593777.747421622</v>
      </c>
      <c r="H116" s="202">
        <f>M107</f>
        <v>14343282.562666481</v>
      </c>
    </row>
    <row r="117" spans="1:8" ht="12.75" customHeight="1" thickBot="1">
      <c r="A117" s="16" t="s">
        <v>106</v>
      </c>
      <c r="B117" s="203"/>
      <c r="C117" s="204">
        <f>150000*C124</f>
        <v>150000</v>
      </c>
      <c r="F117" s="1">
        <v>5</v>
      </c>
      <c r="G117" s="202">
        <f>O105</f>
        <v>8263686.658263528</v>
      </c>
      <c r="H117" s="202">
        <f>O107</f>
        <v>13039347.784242254</v>
      </c>
    </row>
    <row r="118" spans="1:8" ht="12.75" customHeight="1" thickBot="1">
      <c r="A118" s="16" t="s">
        <v>107</v>
      </c>
      <c r="B118" s="203"/>
      <c r="C118" s="204">
        <f>50000*C124</f>
        <v>50000</v>
      </c>
      <c r="F118"/>
      <c r="G118"/>
      <c r="H118"/>
    </row>
    <row r="119" spans="1:3" ht="12.75" customHeight="1" thickBot="1">
      <c r="A119" s="16" t="s">
        <v>108</v>
      </c>
      <c r="B119" s="203"/>
      <c r="C119" s="204">
        <f>10000*C124</f>
        <v>10000</v>
      </c>
    </row>
    <row r="120" spans="1:3" ht="12.75" customHeight="1" thickBot="1">
      <c r="A120" s="16" t="s">
        <v>109</v>
      </c>
      <c r="C120" s="65">
        <v>150000</v>
      </c>
    </row>
    <row r="121" spans="1:3" ht="12.75" customHeight="1" thickBot="1">
      <c r="A121" s="16" t="s">
        <v>110</v>
      </c>
      <c r="B121" s="203"/>
      <c r="C121" s="204">
        <f>1000000*C124</f>
        <v>1000000</v>
      </c>
    </row>
    <row r="122" spans="1:3" ht="12.75" customHeight="1" thickBot="1">
      <c r="A122" s="16" t="s">
        <v>111</v>
      </c>
      <c r="C122" s="205">
        <v>1</v>
      </c>
    </row>
    <row r="123" spans="1:31" s="2" customFormat="1" ht="12.75" customHeight="1" thickBot="1">
      <c r="A123" s="16" t="s">
        <v>112</v>
      </c>
      <c r="B123" s="206"/>
      <c r="C123" s="205">
        <v>1</v>
      </c>
      <c r="D123" s="1"/>
      <c r="F123" s="1"/>
      <c r="G123" s="1"/>
      <c r="H123" s="1"/>
      <c r="J123" s="1"/>
      <c r="K123" s="1"/>
      <c r="L123" s="1"/>
      <c r="N123" s="1"/>
      <c r="O123" s="1"/>
      <c r="P123" s="1"/>
      <c r="R123" s="1"/>
      <c r="S123" s="1"/>
      <c r="T123" s="1"/>
      <c r="V123" s="1"/>
      <c r="W123" s="1"/>
      <c r="X123" s="1"/>
      <c r="Z123" s="1"/>
      <c r="AA123" s="1"/>
      <c r="AB123" s="1"/>
      <c r="AC123" s="1"/>
      <c r="AD123" s="1"/>
      <c r="AE123" s="1"/>
    </row>
    <row r="124" spans="1:3" ht="12" customHeight="1" thickBot="1">
      <c r="A124" s="16" t="s">
        <v>113</v>
      </c>
      <c r="B124" s="207"/>
      <c r="C124" s="208">
        <v>1</v>
      </c>
    </row>
    <row r="125" ht="12" customHeight="1">
      <c r="A125" s="1" t="s">
        <v>114</v>
      </c>
    </row>
    <row r="126" spans="1:7" ht="12" customHeight="1">
      <c r="A126" s="1" t="s">
        <v>115</v>
      </c>
      <c r="F126" s="15">
        <v>0.05</v>
      </c>
      <c r="G126" s="209">
        <v>5018661.450218782</v>
      </c>
    </row>
    <row r="127" spans="1:7" ht="12" customHeight="1">
      <c r="A127" s="1" t="s">
        <v>116</v>
      </c>
      <c r="F127" s="15">
        <v>0.1</v>
      </c>
      <c r="G127" s="209">
        <v>1807808.6910357475</v>
      </c>
    </row>
    <row r="128" spans="1:7" ht="12" customHeight="1">
      <c r="A128" s="1" t="s">
        <v>117</v>
      </c>
      <c r="F128" s="15">
        <v>0.15</v>
      </c>
      <c r="G128" s="209">
        <v>-757342.3693392277</v>
      </c>
    </row>
    <row r="129" spans="1:7" ht="12" customHeight="1">
      <c r="A129" s="1" t="s">
        <v>2</v>
      </c>
      <c r="F129" s="15">
        <v>0.2</v>
      </c>
      <c r="G129" s="209">
        <v>-2831500.2893518656</v>
      </c>
    </row>
    <row r="130" ht="12" customHeight="1">
      <c r="A130" s="1" t="s">
        <v>68</v>
      </c>
    </row>
    <row r="131" ht="12" customHeight="1">
      <c r="A131" s="1" t="s">
        <v>5</v>
      </c>
    </row>
    <row r="132" ht="12" customHeight="1">
      <c r="A132" s="1" t="s">
        <v>73</v>
      </c>
    </row>
    <row r="133" ht="12" customHeight="1"/>
    <row r="134" spans="2:4" ht="12" customHeight="1" thickBot="1">
      <c r="B134" s="7" t="s">
        <v>74</v>
      </c>
      <c r="C134" s="7" t="s">
        <v>17</v>
      </c>
      <c r="D134" s="7" t="s">
        <v>75</v>
      </c>
    </row>
    <row r="135" spans="2:4" ht="12" customHeight="1" thickBot="1">
      <c r="B135" s="210">
        <v>0.05</v>
      </c>
      <c r="C135" s="211">
        <v>5018661.450218782</v>
      </c>
      <c r="D135" s="212">
        <v>0.15</v>
      </c>
    </row>
    <row r="136" spans="2:4" ht="12" customHeight="1" thickBot="1">
      <c r="B136" s="210">
        <v>0.1</v>
      </c>
      <c r="C136" s="211">
        <v>1807808.6910357475</v>
      </c>
      <c r="D136" s="212">
        <v>0.25</v>
      </c>
    </row>
    <row r="137" spans="2:4" ht="12" customHeight="1" thickBot="1">
      <c r="B137" s="210">
        <v>0.15</v>
      </c>
      <c r="C137" s="211">
        <v>-757342.3693392277</v>
      </c>
      <c r="D137" s="212">
        <v>0.35</v>
      </c>
    </row>
    <row r="138" spans="2:4" ht="12" customHeight="1" thickBot="1">
      <c r="B138" s="210">
        <v>0.2</v>
      </c>
      <c r="C138" s="211">
        <v>-2831500.2893518656</v>
      </c>
      <c r="D138" s="212">
        <v>0.25</v>
      </c>
    </row>
    <row r="139" spans="2:4" ht="12" customHeight="1" thickBot="1">
      <c r="B139" s="213" t="s">
        <v>76</v>
      </c>
      <c r="C139" s="65">
        <f>C135*D135+C136*D136+C137*D137+C138*D138</f>
        <v>231806.48868505808</v>
      </c>
      <c r="D139" s="214"/>
    </row>
    <row r="140" spans="2:3" ht="12" customHeight="1" thickBot="1">
      <c r="B140" s="213" t="s">
        <v>77</v>
      </c>
      <c r="C140" s="31">
        <f>B135*D135+B136*D136+B137*D137+B138*D138</f>
        <v>0.135</v>
      </c>
    </row>
    <row r="141" ht="12" customHeight="1"/>
    <row r="142" spans="1:2" ht="12" customHeight="1">
      <c r="A142"/>
      <c r="B142" s="17"/>
    </row>
    <row r="143" ht="12" customHeight="1">
      <c r="A143"/>
    </row>
    <row r="144" ht="12" customHeight="1">
      <c r="A144"/>
    </row>
    <row r="145" ht="12" customHeight="1">
      <c r="A145"/>
    </row>
    <row r="146" ht="12" customHeight="1">
      <c r="A146"/>
    </row>
    <row r="147" ht="12" customHeight="1">
      <c r="A147"/>
    </row>
    <row r="148" ht="12" customHeight="1">
      <c r="A148"/>
    </row>
    <row r="149" ht="12" customHeight="1">
      <c r="A149"/>
    </row>
    <row r="150" ht="12" customHeight="1">
      <c r="A15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Phillip LeBel</cp:lastModifiedBy>
  <cp:lastPrinted>2008-11-24T22:17:26Z</cp:lastPrinted>
  <dcterms:created xsi:type="dcterms:W3CDTF">2007-07-23T21:53:38Z</dcterms:created>
  <cp:category/>
  <cp:version/>
  <cp:contentType/>
  <cp:contentStatus/>
</cp:coreProperties>
</file>