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76" windowWidth="16060" windowHeight="9360" tabRatio="15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<sst xmlns="http://schemas.openxmlformats.org/spreadsheetml/2006/main" count="299" uniqueCount="126">
  <si>
    <t>Optimal Qe of Firm</t>
  </si>
  <si>
    <t>TC of Firm</t>
  </si>
  <si>
    <t>TVC of Firm</t>
  </si>
  <si>
    <t>Opt. Exps (X1)</t>
  </si>
  <si>
    <t>Opt.Exps (X2)</t>
  </si>
  <si>
    <t>Opt. Q (X1)</t>
  </si>
  <si>
    <t>Opt. Q (X2)</t>
  </si>
  <si>
    <t>MP(X2)/(P(X2)</t>
  </si>
  <si>
    <t>MP(X1)/(P(X1)</t>
  </si>
  <si>
    <t>Version B Solution Tableau</t>
  </si>
  <si>
    <t xml:space="preserve"> = sqrt. Eq.Q</t>
  </si>
  <si>
    <t>Ps</t>
  </si>
  <si>
    <t xml:space="preserve"> = .25 root of qe</t>
  </si>
  <si>
    <t>AR =MR = P</t>
  </si>
  <si>
    <t>Unit Profit</t>
  </si>
  <si>
    <t>TVC =</t>
  </si>
  <si>
    <t>Verify that the firm has achieved technical efficiency:</t>
  </si>
  <si>
    <t>Economic Rate of Return on Sales =</t>
  </si>
  <si>
    <t>Budget</t>
  </si>
  <si>
    <t>Opt X1</t>
  </si>
  <si>
    <t>Opt X2</t>
  </si>
  <si>
    <t>Opt Qe</t>
  </si>
  <si>
    <t>Max X2 =</t>
  </si>
  <si>
    <t>Sqrt Max(X2)</t>
  </si>
  <si>
    <t>P(X1) =</t>
  </si>
  <si>
    <t>P(X2) =</t>
  </si>
  <si>
    <t>Max X1 =</t>
  </si>
  <si>
    <t>Opt Exp X1</t>
  </si>
  <si>
    <t>Opt Exp X2</t>
  </si>
  <si>
    <t>Set Production Function Constant</t>
  </si>
  <si>
    <t>Set Production Function 1st Input Exponent</t>
  </si>
  <si>
    <t>Set Production Function Second Input Exponent</t>
  </si>
  <si>
    <t>opportunity cost of capital, allocative efficiency has been achieved, based on the firm's</t>
  </si>
  <si>
    <t>setting of output according to the MR=MC profit maximization rule.</t>
  </si>
  <si>
    <t>Set opportunity cost of capital:</t>
  </si>
  <si>
    <t>Opportunity Cost of Capital:</t>
  </si>
  <si>
    <t>Verify that the firm is in market equilibrium</t>
  </si>
  <si>
    <t>Pd =</t>
  </si>
  <si>
    <t>Qd</t>
  </si>
  <si>
    <t>Ps =</t>
  </si>
  <si>
    <t>Qs</t>
  </si>
  <si>
    <t>Pe=</t>
  </si>
  <si>
    <t>Qe=</t>
  </si>
  <si>
    <t>TR=</t>
  </si>
  <si>
    <t>TR</t>
  </si>
  <si>
    <t>Pe</t>
  </si>
  <si>
    <t>Qe</t>
  </si>
  <si>
    <t>Consider the following:</t>
  </si>
  <si>
    <t>A. Market Conditions:</t>
  </si>
  <si>
    <t>TC =</t>
  </si>
  <si>
    <t>Q</t>
  </si>
  <si>
    <r>
      <t>Q</t>
    </r>
    <r>
      <rPr>
        <b/>
        <vertAlign val="superscript"/>
        <sz val="18"/>
        <rFont val="Helv"/>
        <family val="0"/>
      </rPr>
      <t>2</t>
    </r>
  </si>
  <si>
    <t>Q =</t>
  </si>
  <si>
    <r>
      <t>X</t>
    </r>
    <r>
      <rPr>
        <b/>
        <vertAlign val="subscript"/>
        <sz val="18"/>
        <rFont val="Helv"/>
        <family val="0"/>
      </rPr>
      <t>1</t>
    </r>
  </si>
  <si>
    <r>
      <t>X</t>
    </r>
    <r>
      <rPr>
        <b/>
        <vertAlign val="subscript"/>
        <sz val="18"/>
        <rFont val="Helv"/>
        <family val="0"/>
      </rPr>
      <t>2</t>
    </r>
  </si>
  <si>
    <t>Market equilibrium conditions are:</t>
  </si>
  <si>
    <t>Own-Price Point Elast. Demand=</t>
  </si>
  <si>
    <t>If the firm is in a competitive industry, determine its profit-maximizing output:</t>
  </si>
  <si>
    <t>TR =</t>
  </si>
  <si>
    <t>Profit =</t>
  </si>
  <si>
    <t>Competitive Firm Market Share =</t>
  </si>
  <si>
    <t>At the firm's profit-maximizing level of output, determine its optimal combination</t>
  </si>
  <si>
    <t>of inputs X1 and X2, based on the following input prices:</t>
  </si>
  <si>
    <t>TVC = TC - TFC =</t>
  </si>
  <si>
    <t>Expenditures:</t>
  </si>
  <si>
    <t>Expenditure Share:</t>
  </si>
  <si>
    <r>
      <t>P(X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) =</t>
    </r>
  </si>
  <si>
    <r>
      <t>P(X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) =</t>
    </r>
  </si>
  <si>
    <r>
      <t>Exps. X</t>
    </r>
    <r>
      <rPr>
        <b/>
        <vertAlign val="subscript"/>
        <sz val="18"/>
        <rFont val="Helv"/>
        <family val="0"/>
      </rPr>
      <t>1</t>
    </r>
  </si>
  <si>
    <r>
      <t>Exps. X</t>
    </r>
    <r>
      <rPr>
        <b/>
        <vertAlign val="subscript"/>
        <sz val="18"/>
        <rFont val="Helv"/>
        <family val="0"/>
      </rPr>
      <t>2</t>
    </r>
  </si>
  <si>
    <t>Veriyfy that the firm has achieved technical efficiency:</t>
  </si>
  <si>
    <t>a. MPX1 =</t>
  </si>
  <si>
    <t>b. MPX2 =</t>
  </si>
  <si>
    <t>c. MPX1/PX1 =</t>
  </si>
  <si>
    <t>d. MPX2/PX2 =</t>
  </si>
  <si>
    <t>MC =</t>
  </si>
  <si>
    <t>MR = AR = P =</t>
  </si>
  <si>
    <t>Optimal Quantity of X1 =</t>
  </si>
  <si>
    <t>Optimal Quantity of X2 =</t>
  </si>
  <si>
    <t>Point Own-Price Point Elast. Demand=</t>
  </si>
  <si>
    <t>B. Individual Firm Conditions:</t>
  </si>
  <si>
    <t>Production Function:</t>
  </si>
  <si>
    <t>Cost Function:</t>
  </si>
  <si>
    <t>Expenditure Share Distribution:</t>
  </si>
  <si>
    <t>Percent</t>
  </si>
  <si>
    <t>Total Variable Expenditures</t>
  </si>
  <si>
    <t>Total Percent</t>
  </si>
  <si>
    <t xml:space="preserve"> the firm has achieved technical efficiency. As long as the rate of return to the firm is equal to the</t>
  </si>
  <si>
    <r>
      <t>Conclusion</t>
    </r>
    <r>
      <rPr>
        <sz val="12"/>
        <rFont val="Helv"/>
        <family val="0"/>
      </rPr>
      <t>:  As long as the ratio of the marginal products to their inputs are equalized,</t>
    </r>
  </si>
  <si>
    <t>Total Cost Function:</t>
  </si>
  <si>
    <t>Production Function</t>
  </si>
  <si>
    <t>B. Conditions of a competitive firm:</t>
  </si>
  <si>
    <t>Basic Economic Efficiency Control Panel</t>
  </si>
  <si>
    <t xml:space="preserve"> Set Demand intercept</t>
  </si>
  <si>
    <t>Set Demand coefficient</t>
  </si>
  <si>
    <t>Set Supply intercept</t>
  </si>
  <si>
    <t>Set Supply coefficient</t>
  </si>
  <si>
    <t>Set Total Fixed Cost</t>
  </si>
  <si>
    <t>Set 1st Order Cost Coefficient</t>
  </si>
  <si>
    <t>Set Second Order Cost Coefficient</t>
  </si>
  <si>
    <t>X1</t>
  </si>
  <si>
    <t>Pd</t>
  </si>
  <si>
    <t>ATC</t>
  </si>
  <si>
    <t>MC</t>
  </si>
  <si>
    <t>a. MP(X1) =</t>
  </si>
  <si>
    <t>b. MP(X2) =</t>
  </si>
  <si>
    <t>c. MP(X1)/P(X1) =</t>
  </si>
  <si>
    <t>d. MP(X2)/P(X2) =</t>
  </si>
  <si>
    <t>P. LeBel</t>
  </si>
  <si>
    <t>Basic Economic Efficiency Case Study</t>
  </si>
  <si>
    <t>MP(X1)</t>
  </si>
  <si>
    <t>MP(X2)</t>
  </si>
  <si>
    <t>Set Input Price,  P(X1)</t>
  </si>
  <si>
    <t>Resulting Input Price, P(x2)</t>
  </si>
  <si>
    <t>Basic Economic Efficiency</t>
  </si>
  <si>
    <t>Simulation</t>
  </si>
  <si>
    <t>Reference</t>
  </si>
  <si>
    <t xml:space="preserve">Basic Economic Efficiency </t>
  </si>
  <si>
    <t>Solution Tableau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</si>
  <si>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</si>
  <si>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</si>
  <si>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</si>
  <si>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</si>
  <si>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</si>
  <si>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</si>
  <si>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>©2001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</si>
</sst>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.\ "/>
    <numFmt numFmtId="166" formatCode="0.0000"/>
    <numFmt numFmtId="167" formatCode="&quot;$&quot;#,###;\-&quot;$&quot;#,###"/>
    <numFmt numFmtId="168" formatCode="#,###;\-&quot;$&quot;#,###"/>
    <numFmt numFmtId="169" formatCode="&quot;$&quot;#,##0.00"/>
    <numFmt numFmtId="170" formatCode="\+0.00"/>
    <numFmt numFmtId="171" formatCode="0.000000000000"/>
    <numFmt numFmtId="172" formatCode="0.0000000000"/>
    <numFmt numFmtId="173" formatCode="0.0000\ \="/>
    <numFmt numFmtId="174" formatCode="\(0.00\)\x"/>
    <numFmt numFmtId="175" formatCode="\(&quot;$&quot;#,##0.00\)\÷"/>
    <numFmt numFmtId="176" formatCode="\(&quot;$&quot;#,##0.00\)"/>
    <numFmt numFmtId="177" formatCode="\(0.0000\)\x"/>
    <numFmt numFmtId="178" formatCode="\(0.0000\)"/>
    <numFmt numFmtId="179" formatCode="\(0.0000\)\÷"/>
    <numFmt numFmtId="180" formatCode="&quot;$&quot;#,##0"/>
    <numFmt numFmtId="181" formatCode="#,##0.00000000000000"/>
    <numFmt numFmtId="182" formatCode="0.0"/>
    <numFmt numFmtId="183" formatCode="0.000000000000000"/>
    <numFmt numFmtId="184" formatCode="0.00000000000000"/>
    <numFmt numFmtId="185" formatCode="&quot;$&quot;#,##0.0000"/>
    <numFmt numFmtId="186" formatCode="0.00\ \="/>
    <numFmt numFmtId="187" formatCode="0.00000"/>
  </numFmts>
  <fonts count="2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bscript"/>
      <sz val="18"/>
      <name val="Helv"/>
      <family val="0"/>
    </font>
    <font>
      <b/>
      <vertAlign val="superscript"/>
      <sz val="18"/>
      <name val="Helv"/>
      <family val="0"/>
    </font>
    <font>
      <b/>
      <sz val="12"/>
      <color indexed="56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9.5"/>
      <name val="Helv"/>
      <family val="0"/>
    </font>
    <font>
      <sz val="8.75"/>
      <name val="Helv"/>
      <family val="0"/>
    </font>
    <font>
      <sz val="10.5"/>
      <name val="Helv"/>
      <family val="0"/>
    </font>
    <font>
      <sz val="1.5"/>
      <name val="Helv"/>
      <family val="0"/>
    </font>
    <font>
      <sz val="1.25"/>
      <name val="Helv"/>
      <family val="0"/>
    </font>
    <font>
      <sz val="1.75"/>
      <name val="Helv"/>
      <family val="0"/>
    </font>
    <font>
      <b/>
      <sz val="1.75"/>
      <color indexed="12"/>
      <name val="Helv"/>
      <family val="0"/>
    </font>
    <font>
      <b/>
      <sz val="1"/>
      <color indexed="12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2" fontId="5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166" fontId="5" fillId="0" borderId="4" xfId="0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2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0" fontId="5" fillId="0" borderId="3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169" fontId="5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9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3" fontId="5" fillId="0" borderId="6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9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9" fontId="5" fillId="0" borderId="3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0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69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5" fillId="0" borderId="3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9" fillId="0" borderId="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center"/>
    </xf>
    <xf numFmtId="174" fontId="10" fillId="0" borderId="9" xfId="0" applyNumberFormat="1" applyFont="1" applyBorder="1" applyAlignment="1">
      <alignment/>
    </xf>
    <xf numFmtId="174" fontId="10" fillId="0" borderId="9" xfId="0" applyNumberFormat="1" applyFont="1" applyBorder="1" applyAlignment="1">
      <alignment horizontal="center"/>
    </xf>
    <xf numFmtId="177" fontId="10" fillId="0" borderId="9" xfId="0" applyNumberFormat="1" applyFont="1" applyBorder="1" applyAlignment="1">
      <alignment horizontal="left"/>
    </xf>
    <xf numFmtId="178" fontId="10" fillId="0" borderId="10" xfId="0" applyNumberFormat="1" applyFont="1" applyBorder="1" applyAlignment="1">
      <alignment horizontal="left"/>
    </xf>
    <xf numFmtId="174" fontId="10" fillId="0" borderId="6" xfId="0" applyNumberFormat="1" applyFont="1" applyBorder="1" applyAlignment="1">
      <alignment/>
    </xf>
    <xf numFmtId="174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179" fontId="10" fillId="0" borderId="3" xfId="0" applyNumberFormat="1" applyFont="1" applyBorder="1" applyAlignment="1">
      <alignment/>
    </xf>
    <xf numFmtId="176" fontId="10" fillId="0" borderId="3" xfId="0" applyNumberFormat="1" applyFont="1" applyBorder="1" applyAlignment="1">
      <alignment horizontal="left"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left"/>
    </xf>
    <xf numFmtId="178" fontId="10" fillId="0" borderId="0" xfId="0" applyNumberFormat="1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176" fontId="9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6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187" fontId="5" fillId="0" borderId="4" xfId="0" applyNumberFormat="1" applyFont="1" applyBorder="1" applyAlignment="1">
      <alignment/>
    </xf>
    <xf numFmtId="187" fontId="5" fillId="0" borderId="3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69" fontId="10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Market Equilibrium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75"/>
          <c:w val="1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Sheet1!$C$175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Sheet1!$B$176:$B$200</c:f>
              <c:numCache/>
            </c:numRef>
          </c:cat>
          <c:val>
            <c:numRef>
              <c:f>Sheet1!$C$176:$C$200</c:f>
              <c:numCache/>
            </c:numRef>
          </c:val>
          <c:smooth val="0"/>
        </c:ser>
        <c:ser>
          <c:idx val="1"/>
          <c:order val="1"/>
          <c:tx>
            <c:strRef>
              <c:f>Sheet1!$D$175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Sheet1!$B$176:$B$200</c:f>
              <c:numCache/>
            </c:numRef>
          </c:cat>
          <c:val>
            <c:numRef>
              <c:f>Sheet1!$D$176:$D$200</c:f>
              <c:numCache/>
            </c:numRef>
          </c:val>
          <c:smooth val="0"/>
        </c:ser>
        <c:ser>
          <c:idx val="2"/>
          <c:order val="2"/>
          <c:tx>
            <c:strRef>
              <c:f>Sheet1!$E$175</c:f>
              <c:strCache>
                <c:ptCount val="1"/>
                <c:pt idx="0">
                  <c:v>Pe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Sheet1!$B$176:$B$200</c:f>
              <c:numCache/>
            </c:numRef>
          </c:cat>
          <c:val>
            <c:numRef>
              <c:f>Sheet1!$E$176:$E$200</c:f>
              <c:numCache/>
            </c:numRef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663146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Equilibrium Output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68"/>
          <c:w val="0.984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Sheet1!$G$175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Sheet1!$F$176:$F$200</c:f>
              <c:numCache/>
            </c:numRef>
          </c:cat>
          <c:val>
            <c:numRef>
              <c:f>Sheet1!$G$176:$G$200</c:f>
              <c:numCache/>
            </c:numRef>
          </c:val>
          <c:smooth val="0"/>
        </c:ser>
        <c:ser>
          <c:idx val="1"/>
          <c:order val="1"/>
          <c:tx>
            <c:strRef>
              <c:f>Sheet1!$H$175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Sheet1!$F$176:$F$200</c:f>
              <c:numCache/>
            </c:numRef>
          </c:cat>
          <c:val>
            <c:numRef>
              <c:f>Sheet1!$H$176:$H$200</c:f>
              <c:numCache/>
            </c:numRef>
          </c:val>
          <c:smooth val="0"/>
        </c:ser>
        <c:ser>
          <c:idx val="2"/>
          <c:order val="2"/>
          <c:tx>
            <c:strRef>
              <c:f>Sheet1!$I$175</c:f>
              <c:strCache>
                <c:ptCount val="1"/>
                <c:pt idx="0">
                  <c:v>AR =MR = 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Sheet1!$F$176:$F$200</c:f>
              <c:numCache/>
            </c:numRef>
          </c:cat>
          <c:val>
            <c:numRef>
              <c:f>Sheet1!$I$176:$I$200</c:f>
              <c:numCache/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66470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8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Technical Efficiency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675"/>
          <c:w val="0.991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Sheet1!$C$206</c:f>
              <c:strCache>
                <c:ptCount val="1"/>
                <c:pt idx="0">
                  <c:v>Budget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Sheet1!$B$207:$B$232</c:f>
              <c:numCache/>
            </c:numRef>
          </c:cat>
          <c:val>
            <c:numRef>
              <c:f>Sheet1!$C$207:$C$232</c:f>
              <c:numCache/>
            </c:numRef>
          </c:val>
          <c:smooth val="0"/>
        </c:ser>
        <c:ser>
          <c:idx val="1"/>
          <c:order val="1"/>
          <c:tx>
            <c:strRef>
              <c:f>Sheet1!$D$206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Sheet1!$B$207:$B$232</c:f>
              <c:numCache/>
            </c:numRef>
          </c:cat>
          <c:val>
            <c:numRef>
              <c:f>Sheet1!$D$207:$D$232</c:f>
              <c:numCache/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025"/>
          <c:y val="0.8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Market Equilibrium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Sheet1!$N$175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Sheet1!$M$176:$M$200</c:f>
            </c:numRef>
          </c:cat>
          <c:val>
            <c:numRef>
              <c:f>Sheet1!$N$176:$N$200</c:f>
            </c:numRef>
          </c:val>
          <c:smooth val="0"/>
        </c:ser>
        <c:ser>
          <c:idx val="1"/>
          <c:order val="1"/>
          <c:tx>
            <c:strRef>
              <c:f>Sheet1!$O$175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Sheet1!$M$176:$M$200</c:f>
            </c:numRef>
          </c:cat>
          <c:val>
            <c:numRef>
              <c:f>Sheet1!$O$176:$O$200</c:f>
            </c:numRef>
          </c:val>
          <c:smooth val="0"/>
        </c:ser>
        <c:ser>
          <c:idx val="2"/>
          <c:order val="2"/>
          <c:tx>
            <c:strRef>
              <c:f>Sheet1!$P$175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Sheet1!$M$176:$M$200</c:f>
            </c:numRef>
          </c:cat>
          <c:val>
            <c:numRef>
              <c:f>Sheet1!$P$176:$P$200</c:f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Helv"/>
                <a:ea typeface="Helv"/>
                <a:cs typeface="Helv"/>
              </a:defRPr>
            </a:pPr>
          </a:p>
        </c:txPr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Helv"/>
                <a:ea typeface="Helv"/>
                <a:cs typeface="Helv"/>
              </a:defRPr>
            </a:pPr>
          </a:p>
        </c:txPr>
        <c:crossAx val="59349587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Equilibrium Output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Sheet1!$R$175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Sheet1!$Q$176:$Q$200</c:f>
            </c:numRef>
          </c:cat>
          <c:val>
            <c:numRef>
              <c:f>Sheet1!$R$176:$R$200</c:f>
            </c:numRef>
          </c:val>
          <c:smooth val="0"/>
        </c:ser>
        <c:ser>
          <c:idx val="1"/>
          <c:order val="1"/>
          <c:tx>
            <c:strRef>
              <c:f>Sheet1!$S$175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Sheet1!$Q$176:$Q$200</c:f>
            </c:numRef>
          </c:cat>
          <c:val>
            <c:numRef>
              <c:f>Sheet1!$S$176:$S$200</c:f>
            </c:numRef>
          </c:val>
          <c:smooth val="0"/>
        </c:ser>
        <c:ser>
          <c:idx val="2"/>
          <c:order val="2"/>
          <c:tx>
            <c:strRef>
              <c:f>Sheet1!$T$175</c:f>
              <c:strCache>
                <c:ptCount val="1"/>
                <c:pt idx="0">
                  <c:v>AR =MR = 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Sheet1!$Q$176:$Q$200</c:f>
            </c:numRef>
          </c:cat>
          <c:val>
            <c:numRef>
              <c:f>Sheet1!$T$176:$T$200</c:f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Helv"/>
                <a:ea typeface="Helv"/>
                <a:cs typeface="Helv"/>
              </a:defRPr>
            </a:pPr>
          </a:p>
        </c:txPr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Helv"/>
                <a:ea typeface="Helv"/>
                <a:cs typeface="Helv"/>
              </a:defRPr>
            </a:pPr>
          </a:p>
        </c:txPr>
        <c:crossAx val="4258721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Technical Efficiency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Sheet1!$N$206</c:f>
              <c:strCache>
                <c:ptCount val="1"/>
                <c:pt idx="0">
                  <c:v>Budget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Sheet1!$M$207:$M$232</c:f>
            </c:numRef>
          </c:cat>
          <c:val>
            <c:numRef>
              <c:f>Sheet1!$N$207:$N$232</c:f>
            </c:numRef>
          </c:val>
          <c:smooth val="0"/>
        </c:ser>
        <c:ser>
          <c:idx val="2"/>
          <c:order val="1"/>
          <c:tx>
            <c:strRef>
              <c:f>Sheet1!$O$207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Sheet1!$M$207:$M$232</c:f>
            </c:numRef>
          </c:cat>
          <c:val>
            <c:numRef>
              <c:f>Sheet1!$O$207:$O$232</c:f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117</xdr:row>
      <xdr:rowOff>123825</xdr:rowOff>
    </xdr:from>
    <xdr:to>
      <xdr:col>10</xdr:col>
      <xdr:colOff>9525</xdr:colOff>
      <xdr:row>132</xdr:row>
      <xdr:rowOff>28575</xdr:rowOff>
    </xdr:to>
    <xdr:graphicFrame>
      <xdr:nvGraphicFramePr>
        <xdr:cNvPr id="1" name="Chart 9"/>
        <xdr:cNvGraphicFramePr/>
      </xdr:nvGraphicFramePr>
      <xdr:xfrm>
        <a:off x="371475" y="22983825"/>
        <a:ext cx="76295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132</xdr:row>
      <xdr:rowOff>142875</xdr:rowOff>
    </xdr:from>
    <xdr:to>
      <xdr:col>9</xdr:col>
      <xdr:colOff>666750</xdr:colOff>
      <xdr:row>147</xdr:row>
      <xdr:rowOff>76200</xdr:rowOff>
    </xdr:to>
    <xdr:graphicFrame>
      <xdr:nvGraphicFramePr>
        <xdr:cNvPr id="2" name="Chart 10"/>
        <xdr:cNvGraphicFramePr/>
      </xdr:nvGraphicFramePr>
      <xdr:xfrm>
        <a:off x="371475" y="25574625"/>
        <a:ext cx="761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147</xdr:row>
      <xdr:rowOff>161925</xdr:rowOff>
    </xdr:from>
    <xdr:to>
      <xdr:col>9</xdr:col>
      <xdr:colOff>647700</xdr:colOff>
      <xdr:row>164</xdr:row>
      <xdr:rowOff>0</xdr:rowOff>
    </xdr:to>
    <xdr:graphicFrame>
      <xdr:nvGraphicFramePr>
        <xdr:cNvPr id="3" name="Chart 12"/>
        <xdr:cNvGraphicFramePr/>
      </xdr:nvGraphicFramePr>
      <xdr:xfrm>
        <a:off x="361950" y="28165425"/>
        <a:ext cx="7600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117</xdr:row>
      <xdr:rowOff>28575</xdr:rowOff>
    </xdr:from>
    <xdr:to>
      <xdr:col>21</xdr:col>
      <xdr:colOff>0</xdr:colOff>
      <xdr:row>131</xdr:row>
      <xdr:rowOff>95250</xdr:rowOff>
    </xdr:to>
    <xdr:graphicFrame>
      <xdr:nvGraphicFramePr>
        <xdr:cNvPr id="4" name="Chart 16"/>
        <xdr:cNvGraphicFramePr/>
      </xdr:nvGraphicFramePr>
      <xdr:xfrm>
        <a:off x="9096375" y="22888575"/>
        <a:ext cx="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133</xdr:row>
      <xdr:rowOff>28575</xdr:rowOff>
    </xdr:from>
    <xdr:to>
      <xdr:col>21</xdr:col>
      <xdr:colOff>0</xdr:colOff>
      <xdr:row>147</xdr:row>
      <xdr:rowOff>95250</xdr:rowOff>
    </xdr:to>
    <xdr:graphicFrame>
      <xdr:nvGraphicFramePr>
        <xdr:cNvPr id="5" name="Chart 17"/>
        <xdr:cNvGraphicFramePr/>
      </xdr:nvGraphicFramePr>
      <xdr:xfrm>
        <a:off x="9096375" y="25631775"/>
        <a:ext cx="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148</xdr:row>
      <xdr:rowOff>57150</xdr:rowOff>
    </xdr:from>
    <xdr:to>
      <xdr:col>20</xdr:col>
      <xdr:colOff>666750</xdr:colOff>
      <xdr:row>171</xdr:row>
      <xdr:rowOff>9525</xdr:rowOff>
    </xdr:to>
    <xdr:graphicFrame>
      <xdr:nvGraphicFramePr>
        <xdr:cNvPr id="6" name="Chart 18"/>
        <xdr:cNvGraphicFramePr/>
      </xdr:nvGraphicFramePr>
      <xdr:xfrm>
        <a:off x="9096375" y="28232100"/>
        <a:ext cx="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235"/>
  <sheetViews>
    <sheetView tabSelected="1" workbookViewId="0" topLeftCell="A1">
      <selection activeCell="B2" sqref="B2"/>
    </sheetView>
  </sheetViews>
  <sheetFormatPr defaultColWidth="11.421875" defaultRowHeight="12"/>
  <cols>
    <col min="1" max="1" width="5.421875" style="1" customWidth="1"/>
    <col min="2" max="2" width="9.00390625" style="1" customWidth="1"/>
    <col min="3" max="4" width="12.00390625" style="1" customWidth="1"/>
    <col min="5" max="5" width="12.57421875" style="1" customWidth="1"/>
    <col min="6" max="6" width="14.140625" style="1" customWidth="1"/>
    <col min="7" max="7" width="15.8515625" style="1" customWidth="1"/>
    <col min="8" max="8" width="14.140625" style="1" customWidth="1"/>
    <col min="9" max="9" width="14.57421875" style="0" customWidth="1"/>
    <col min="10" max="11" width="10.140625" style="1" customWidth="1"/>
    <col min="12" max="12" width="6.421875" style="1" customWidth="1"/>
    <col min="13" max="13" width="10.140625" style="1" hidden="1" customWidth="1"/>
    <col min="14" max="14" width="13.140625" style="1" hidden="1" customWidth="1"/>
    <col min="15" max="15" width="12.00390625" style="1" hidden="1" customWidth="1"/>
    <col min="16" max="16" width="12.57421875" style="1" hidden="1" customWidth="1"/>
    <col min="17" max="17" width="17.421875" style="1" hidden="1" customWidth="1"/>
    <col min="18" max="19" width="13.57421875" style="1" hidden="1" customWidth="1"/>
    <col min="20" max="21" width="10.140625" style="1" hidden="1" customWidth="1"/>
    <col min="22" max="22" width="6.421875" style="1" hidden="1" customWidth="1"/>
    <col min="23" max="23" width="9.57421875" style="1" customWidth="1"/>
    <col min="24" max="24" width="8.57421875" style="1" customWidth="1"/>
    <col min="25" max="26" width="6.00390625" style="1" customWidth="1"/>
    <col min="27" max="27" width="9.8515625" style="1" customWidth="1"/>
    <col min="28" max="28" width="13.421875" style="1" customWidth="1"/>
    <col min="29" max="29" width="10.140625" style="1" customWidth="1"/>
    <col min="30" max="32" width="15.8515625" style="1" customWidth="1"/>
    <col min="33" max="33" width="12.140625" style="1" customWidth="1"/>
    <col min="34" max="34" width="9.00390625" style="1" customWidth="1"/>
    <col min="35" max="35" width="6.140625" style="1" customWidth="1"/>
    <col min="36" max="36" width="15.8515625" style="1" customWidth="1"/>
    <col min="37" max="38" width="8.140625" style="1" customWidth="1"/>
    <col min="39" max="39" width="9.8515625" style="1" customWidth="1"/>
    <col min="40" max="40" width="16.8515625" style="1" customWidth="1"/>
    <col min="41" max="42" width="15.8515625" style="1" customWidth="1"/>
    <col min="43" max="43" width="14.00390625" style="1" customWidth="1"/>
    <col min="44" max="44" width="5.421875" style="0" customWidth="1"/>
    <col min="47" max="47" width="4.8515625" style="1" customWidth="1"/>
    <col min="48" max="49" width="11.00390625" style="1" customWidth="1"/>
    <col min="50" max="50" width="12.00390625" style="5" customWidth="1"/>
    <col min="51" max="51" width="11.00390625" style="5" customWidth="1"/>
    <col min="52" max="52" width="17.421875" style="6" customWidth="1"/>
    <col min="53" max="53" width="15.8515625" style="6" customWidth="1"/>
    <col min="54" max="16384" width="11.00390625" style="1" customWidth="1"/>
  </cols>
  <sheetData>
    <row r="1" spans="20:35" ht="15" thickBot="1">
      <c r="T1"/>
      <c r="AG1"/>
      <c r="AH1"/>
      <c r="AI1"/>
    </row>
    <row r="2" spans="4:53" ht="15" thickBot="1">
      <c r="D2" s="35"/>
      <c r="E2" s="37"/>
      <c r="F2" s="38" t="s">
        <v>114</v>
      </c>
      <c r="G2" s="37"/>
      <c r="H2" s="39"/>
      <c r="I2" s="1"/>
      <c r="O2" s="35"/>
      <c r="P2" s="37"/>
      <c r="Q2" s="38" t="s">
        <v>114</v>
      </c>
      <c r="R2" s="37"/>
      <c r="S2" s="39"/>
      <c r="W2"/>
      <c r="X2"/>
      <c r="Y2"/>
      <c r="Z2"/>
      <c r="AB2" s="35"/>
      <c r="AC2" s="37"/>
      <c r="AD2" s="38" t="s">
        <v>92</v>
      </c>
      <c r="AE2" s="37"/>
      <c r="AF2" s="36"/>
      <c r="AG2" s="42"/>
      <c r="AX2" s="1"/>
      <c r="AY2" s="1"/>
      <c r="AZ2" s="1"/>
      <c r="BA2" s="1"/>
    </row>
    <row r="3" spans="2:53" ht="15" thickBot="1">
      <c r="B3" s="83" t="s">
        <v>125</v>
      </c>
      <c r="I3" s="1"/>
      <c r="J3" s="5" t="s">
        <v>108</v>
      </c>
      <c r="K3" s="5"/>
      <c r="M3" s="83"/>
      <c r="U3" s="5" t="s">
        <v>108</v>
      </c>
      <c r="V3" s="5"/>
      <c r="W3"/>
      <c r="X3"/>
      <c r="Y3"/>
      <c r="Z3"/>
      <c r="AG3" s="5"/>
      <c r="AQ3"/>
      <c r="AT3" s="1"/>
      <c r="AW3" s="5"/>
      <c r="AY3" s="6"/>
      <c r="BA3" s="1"/>
    </row>
    <row r="4" spans="2:53" ht="15" thickBot="1">
      <c r="B4" s="140" t="s">
        <v>119</v>
      </c>
      <c r="C4" s="133"/>
      <c r="D4" s="133"/>
      <c r="E4" s="133"/>
      <c r="F4" s="133"/>
      <c r="G4" s="133"/>
      <c r="H4" s="133"/>
      <c r="I4" s="133"/>
      <c r="J4" s="134"/>
      <c r="K4" s="5"/>
      <c r="M4" s="83"/>
      <c r="U4" s="5"/>
      <c r="V4" s="5"/>
      <c r="W4"/>
      <c r="AA4"/>
      <c r="AB4"/>
      <c r="AC4"/>
      <c r="AD4"/>
      <c r="AE4"/>
      <c r="AF4"/>
      <c r="AG4"/>
      <c r="AH4"/>
      <c r="AQ4"/>
      <c r="AT4" s="1"/>
      <c r="AX4" s="1"/>
      <c r="AY4" s="1"/>
      <c r="AZ4" s="1"/>
      <c r="BA4" s="1"/>
    </row>
    <row r="5" spans="2:53" ht="15" thickBot="1">
      <c r="B5" s="135"/>
      <c r="C5" s="10" t="s">
        <v>120</v>
      </c>
      <c r="D5" s="10"/>
      <c r="E5" s="10"/>
      <c r="F5" s="10"/>
      <c r="G5" s="10"/>
      <c r="H5" s="10"/>
      <c r="I5" s="10"/>
      <c r="J5" s="136"/>
      <c r="K5" s="5"/>
      <c r="M5" s="83"/>
      <c r="U5" s="5"/>
      <c r="V5" s="5"/>
      <c r="W5"/>
      <c r="AB5" s="5"/>
      <c r="AC5" s="5"/>
      <c r="AD5" s="89" t="s">
        <v>115</v>
      </c>
      <c r="AE5" s="90" t="s">
        <v>116</v>
      </c>
      <c r="AG5"/>
      <c r="AH5"/>
      <c r="AQ5"/>
      <c r="AT5" s="1"/>
      <c r="AX5" s="1"/>
      <c r="AY5" s="1"/>
      <c r="AZ5" s="1"/>
      <c r="BA5" s="1"/>
    </row>
    <row r="6" spans="2:53" ht="15" thickBot="1">
      <c r="B6" s="135"/>
      <c r="C6" s="10" t="s">
        <v>121</v>
      </c>
      <c r="D6" s="10"/>
      <c r="E6" s="10"/>
      <c r="F6" s="10"/>
      <c r="G6" s="10"/>
      <c r="H6" s="10"/>
      <c r="I6" s="10"/>
      <c r="J6" s="136"/>
      <c r="K6" s="5"/>
      <c r="M6" s="83"/>
      <c r="U6" s="5"/>
      <c r="V6" s="5"/>
      <c r="W6"/>
      <c r="AB6"/>
      <c r="AC6" s="73" t="s">
        <v>93</v>
      </c>
      <c r="AD6" s="12">
        <v>225</v>
      </c>
      <c r="AE6" s="12">
        <v>248</v>
      </c>
      <c r="AF6"/>
      <c r="AG6"/>
      <c r="AH6"/>
      <c r="AQ6"/>
      <c r="AT6" s="1"/>
      <c r="AX6" s="1"/>
      <c r="AY6" s="1"/>
      <c r="AZ6" s="1"/>
      <c r="BA6" s="1"/>
    </row>
    <row r="7" spans="2:53" ht="15" thickBot="1">
      <c r="B7" s="135"/>
      <c r="C7" s="10" t="s">
        <v>122</v>
      </c>
      <c r="D7" s="10"/>
      <c r="E7" s="10"/>
      <c r="F7" s="10"/>
      <c r="G7" s="10"/>
      <c r="H7" s="10"/>
      <c r="I7" s="10"/>
      <c r="J7" s="136"/>
      <c r="K7" s="5"/>
      <c r="M7" s="83"/>
      <c r="U7" s="5"/>
      <c r="V7" s="5"/>
      <c r="W7"/>
      <c r="AB7"/>
      <c r="AC7" s="73" t="s">
        <v>94</v>
      </c>
      <c r="AD7" s="18">
        <v>-0.25</v>
      </c>
      <c r="AE7" s="128">
        <v>-0.54784</v>
      </c>
      <c r="AF7"/>
      <c r="AG7"/>
      <c r="AH7"/>
      <c r="AQ7"/>
      <c r="AT7" s="1"/>
      <c r="AX7" s="1"/>
      <c r="AY7" s="1"/>
      <c r="AZ7" s="1"/>
      <c r="BA7" s="1"/>
    </row>
    <row r="8" spans="2:53" ht="15" thickBot="1">
      <c r="B8" s="135"/>
      <c r="C8" s="10" t="s">
        <v>123</v>
      </c>
      <c r="D8" s="10"/>
      <c r="E8" s="10"/>
      <c r="F8" s="10"/>
      <c r="G8" s="10"/>
      <c r="H8" s="10"/>
      <c r="I8" s="10"/>
      <c r="J8" s="136"/>
      <c r="K8" s="5"/>
      <c r="M8" s="83"/>
      <c r="U8" s="5"/>
      <c r="V8" s="5"/>
      <c r="W8"/>
      <c r="AB8"/>
      <c r="AC8" s="73" t="s">
        <v>95</v>
      </c>
      <c r="AD8" s="18">
        <v>24</v>
      </c>
      <c r="AE8" s="18">
        <v>20</v>
      </c>
      <c r="AF8"/>
      <c r="AG8"/>
      <c r="AH8"/>
      <c r="AQ8"/>
      <c r="AT8" s="1"/>
      <c r="AX8" s="1"/>
      <c r="AY8" s="1"/>
      <c r="AZ8" s="1"/>
      <c r="BA8" s="1"/>
    </row>
    <row r="9" spans="2:53" ht="15" thickBot="1">
      <c r="B9" s="137"/>
      <c r="C9" s="138" t="s">
        <v>124</v>
      </c>
      <c r="D9" s="138"/>
      <c r="E9" s="138"/>
      <c r="F9" s="138"/>
      <c r="G9" s="138"/>
      <c r="H9" s="138"/>
      <c r="I9" s="138"/>
      <c r="J9" s="139"/>
      <c r="K9" s="5"/>
      <c r="M9" s="83"/>
      <c r="U9" s="5"/>
      <c r="V9" s="5"/>
      <c r="W9"/>
      <c r="AB9"/>
      <c r="AC9" s="73" t="s">
        <v>96</v>
      </c>
      <c r="AD9" s="18">
        <v>0.2</v>
      </c>
      <c r="AE9" s="18">
        <v>0.25</v>
      </c>
      <c r="AF9"/>
      <c r="AG9"/>
      <c r="AH9"/>
      <c r="AQ9"/>
      <c r="AT9" s="1"/>
      <c r="AX9" s="1"/>
      <c r="AY9" s="1"/>
      <c r="AZ9" s="1"/>
      <c r="BA9" s="1"/>
    </row>
    <row r="10" spans="2:53" ht="15" thickBot="1">
      <c r="B10" s="1" t="s">
        <v>47</v>
      </c>
      <c r="D10" s="10"/>
      <c r="E10" s="11"/>
      <c r="F10" s="10"/>
      <c r="M10" s="1" t="s">
        <v>47</v>
      </c>
      <c r="O10" s="10"/>
      <c r="P10" s="11"/>
      <c r="Q10" s="10"/>
      <c r="T10"/>
      <c r="AB10" s="5"/>
      <c r="AC10" s="73" t="s">
        <v>97</v>
      </c>
      <c r="AD10" s="12">
        <v>800</v>
      </c>
      <c r="AE10" s="12">
        <v>500</v>
      </c>
      <c r="AF10"/>
      <c r="AG10"/>
      <c r="AH10"/>
      <c r="AQ10"/>
      <c r="AT10" s="1"/>
      <c r="AX10" s="1"/>
      <c r="AY10" s="1"/>
      <c r="AZ10" s="1"/>
      <c r="BA10" s="1"/>
    </row>
    <row r="11" spans="3:53" ht="15" thickBot="1">
      <c r="C11" s="2" t="s">
        <v>48</v>
      </c>
      <c r="N11" s="2" t="s">
        <v>48</v>
      </c>
      <c r="T11"/>
      <c r="AB11" s="5"/>
      <c r="AC11" s="73" t="s">
        <v>98</v>
      </c>
      <c r="AD11" s="12">
        <v>1.6</v>
      </c>
      <c r="AE11" s="12">
        <v>2</v>
      </c>
      <c r="AF11"/>
      <c r="AG11"/>
      <c r="AH11"/>
      <c r="AQ11"/>
      <c r="AT11" s="1"/>
      <c r="AX11" s="1"/>
      <c r="AY11" s="1"/>
      <c r="AZ11" s="1"/>
      <c r="BA11" s="1"/>
    </row>
    <row r="12" spans="4:53" ht="15" thickBot="1">
      <c r="D12" s="7" t="s">
        <v>37</v>
      </c>
      <c r="E12" s="8">
        <f>AD6</f>
        <v>225</v>
      </c>
      <c r="F12" s="93">
        <f>AD7</f>
        <v>-0.25</v>
      </c>
      <c r="G12" s="9" t="s">
        <v>38</v>
      </c>
      <c r="O12" s="7" t="s">
        <v>37</v>
      </c>
      <c r="P12" s="8">
        <f>$AE$6</f>
        <v>248</v>
      </c>
      <c r="Q12" s="93">
        <f>$AE$7</f>
        <v>-0.54784</v>
      </c>
      <c r="R12" s="9" t="s">
        <v>38</v>
      </c>
      <c r="T12"/>
      <c r="AB12" s="5"/>
      <c r="AC12" s="73" t="s">
        <v>99</v>
      </c>
      <c r="AD12" s="12">
        <v>2.2</v>
      </c>
      <c r="AE12" s="12">
        <v>4</v>
      </c>
      <c r="AF12"/>
      <c r="AG12"/>
      <c r="AH12"/>
      <c r="AQ12"/>
      <c r="AT12" s="1"/>
      <c r="AX12" s="1"/>
      <c r="AY12" s="1"/>
      <c r="AZ12" s="1"/>
      <c r="BA12" s="1"/>
    </row>
    <row r="13" spans="4:53" ht="15" thickBot="1">
      <c r="D13" s="2"/>
      <c r="E13" s="2"/>
      <c r="F13" s="94"/>
      <c r="G13" s="2"/>
      <c r="O13" s="2"/>
      <c r="P13" s="2"/>
      <c r="Q13" s="94"/>
      <c r="R13" s="2"/>
      <c r="T13"/>
      <c r="AB13" s="5"/>
      <c r="AC13" s="73" t="s">
        <v>29</v>
      </c>
      <c r="AD13" s="12">
        <f>AD22/((AD27^AD14)*(AD28^AD15))</f>
        <v>3.0405058331794717</v>
      </c>
      <c r="AE13" s="12">
        <f>AE22/((AE27^AE14)*(AE28^AE15))</f>
        <v>4.807838400295533</v>
      </c>
      <c r="AF13"/>
      <c r="AG13"/>
      <c r="AH13"/>
      <c r="AQ13"/>
      <c r="AT13" s="1"/>
      <c r="AX13" s="1"/>
      <c r="AY13" s="1"/>
      <c r="AZ13" s="1"/>
      <c r="BA13" s="1"/>
    </row>
    <row r="14" spans="4:53" ht="15" thickBot="1">
      <c r="D14" s="7" t="s">
        <v>39</v>
      </c>
      <c r="E14" s="8">
        <f>AD8</f>
        <v>24</v>
      </c>
      <c r="F14" s="93">
        <f>AD9</f>
        <v>0.2</v>
      </c>
      <c r="G14" s="9" t="s">
        <v>40</v>
      </c>
      <c r="O14" s="7" t="s">
        <v>39</v>
      </c>
      <c r="P14" s="8">
        <f>$AE$8</f>
        <v>20</v>
      </c>
      <c r="Q14" s="93">
        <f>$AE$9</f>
        <v>0.25</v>
      </c>
      <c r="R14" s="9" t="s">
        <v>40</v>
      </c>
      <c r="T14"/>
      <c r="AB14" s="5"/>
      <c r="AC14" s="73" t="s">
        <v>30</v>
      </c>
      <c r="AD14" s="12">
        <v>0.25</v>
      </c>
      <c r="AE14" s="12">
        <v>0.2</v>
      </c>
      <c r="AF14"/>
      <c r="AG14"/>
      <c r="AH14"/>
      <c r="AQ14"/>
      <c r="AT14" s="1"/>
      <c r="AX14" s="1"/>
      <c r="AY14" s="1"/>
      <c r="AZ14" s="1"/>
      <c r="BA14" s="1"/>
    </row>
    <row r="15" spans="4:53" ht="15" thickBot="1">
      <c r="D15" s="31"/>
      <c r="E15" s="76"/>
      <c r="F15" s="77"/>
      <c r="G15" s="78"/>
      <c r="O15" s="31"/>
      <c r="P15" s="76"/>
      <c r="Q15" s="77"/>
      <c r="R15" s="78"/>
      <c r="T15"/>
      <c r="AB15" s="5"/>
      <c r="AC15" s="73" t="s">
        <v>31</v>
      </c>
      <c r="AD15" s="12">
        <v>0.75</v>
      </c>
      <c r="AE15" s="12">
        <v>0.8</v>
      </c>
      <c r="AF15"/>
      <c r="AG15"/>
      <c r="AH15"/>
      <c r="AQ15"/>
      <c r="AT15" s="1"/>
      <c r="AX15" s="1"/>
      <c r="AY15" s="1"/>
      <c r="AZ15" s="1"/>
      <c r="BA15" s="1"/>
    </row>
    <row r="16" spans="4:53" ht="22.5" customHeight="1" thickBot="1">
      <c r="D16" s="81" t="s">
        <v>35</v>
      </c>
      <c r="E16" s="8"/>
      <c r="F16" s="40"/>
      <c r="G16" s="75">
        <f>$AD$16</f>
        <v>0.1</v>
      </c>
      <c r="O16" s="81" t="s">
        <v>35</v>
      </c>
      <c r="P16" s="8"/>
      <c r="Q16" s="40"/>
      <c r="R16" s="75">
        <f>$AE$16</f>
        <v>0.12</v>
      </c>
      <c r="T16"/>
      <c r="AB16" s="5"/>
      <c r="AC16" s="73" t="s">
        <v>34</v>
      </c>
      <c r="AD16" s="19">
        <v>0.1</v>
      </c>
      <c r="AE16" s="75">
        <v>0.12</v>
      </c>
      <c r="AF16"/>
      <c r="AG16"/>
      <c r="AH16"/>
      <c r="AQ16"/>
      <c r="AT16" s="1"/>
      <c r="AX16" s="1"/>
      <c r="AY16" s="1"/>
      <c r="AZ16" s="1"/>
      <c r="BA16" s="1"/>
    </row>
    <row r="17" spans="4:55" ht="15" thickBot="1">
      <c r="D17" s="79"/>
      <c r="E17" s="76"/>
      <c r="F17" s="77"/>
      <c r="G17" s="80"/>
      <c r="O17" s="79"/>
      <c r="P17" s="76"/>
      <c r="Q17" s="77"/>
      <c r="R17" s="80"/>
      <c r="T17"/>
      <c r="AC17" s="73" t="s">
        <v>112</v>
      </c>
      <c r="AD17" s="20">
        <v>24</v>
      </c>
      <c r="AE17" s="20">
        <v>20</v>
      </c>
      <c r="AF17"/>
      <c r="AG17"/>
      <c r="AH17"/>
      <c r="AQ17"/>
      <c r="AT17" s="1"/>
      <c r="AX17" s="1"/>
      <c r="AY17" s="1"/>
      <c r="AZ17" s="1"/>
      <c r="BA17" s="1"/>
      <c r="BB17"/>
      <c r="BC17"/>
    </row>
    <row r="18" spans="3:55" ht="15" thickBot="1">
      <c r="C18" s="2" t="s">
        <v>80</v>
      </c>
      <c r="N18" s="2" t="s">
        <v>80</v>
      </c>
      <c r="T18"/>
      <c r="AB18"/>
      <c r="AC18" s="73" t="s">
        <v>113</v>
      </c>
      <c r="AD18" s="20">
        <v>160</v>
      </c>
      <c r="AE18" s="20">
        <v>220</v>
      </c>
      <c r="AF18"/>
      <c r="AG18"/>
      <c r="AH18"/>
      <c r="AQ18"/>
      <c r="AT18" s="1"/>
      <c r="AX18" s="1"/>
      <c r="AY18" s="1"/>
      <c r="AZ18" s="1"/>
      <c r="BA18" s="1"/>
      <c r="BB18"/>
      <c r="BC18"/>
    </row>
    <row r="19" spans="4:55" ht="15" thickBot="1">
      <c r="D19" s="1" t="s">
        <v>82</v>
      </c>
      <c r="O19" s="1" t="s">
        <v>82</v>
      </c>
      <c r="T19"/>
      <c r="AB19"/>
      <c r="AC19" s="5" t="s">
        <v>45</v>
      </c>
      <c r="AD19" s="15">
        <f>AD6+AD7*AD20</f>
        <v>113.33333333333334</v>
      </c>
      <c r="AE19" s="15">
        <f>AE6+AE7*AE20</f>
        <v>91.4428958187105</v>
      </c>
      <c r="AF19"/>
      <c r="AG19"/>
      <c r="AH19"/>
      <c r="AQ19"/>
      <c r="AT19" s="1"/>
      <c r="AW19"/>
      <c r="AX19"/>
      <c r="AY19"/>
      <c r="AZ19"/>
      <c r="BA19"/>
      <c r="BB19"/>
      <c r="BC19"/>
    </row>
    <row r="20" spans="4:55" ht="22.5" customHeight="1" thickBot="1">
      <c r="D20" s="7" t="s">
        <v>49</v>
      </c>
      <c r="E20" s="8">
        <f>AD10</f>
        <v>800</v>
      </c>
      <c r="F20" s="40">
        <f>AD11</f>
        <v>1.6</v>
      </c>
      <c r="G20" s="21" t="s">
        <v>50</v>
      </c>
      <c r="H20" s="40">
        <f>AD12</f>
        <v>2.2</v>
      </c>
      <c r="I20" s="9" t="s">
        <v>51</v>
      </c>
      <c r="O20" s="7" t="s">
        <v>49</v>
      </c>
      <c r="P20" s="8">
        <f>$AE$10</f>
        <v>500</v>
      </c>
      <c r="Q20" s="40">
        <f>$AE$11</f>
        <v>2</v>
      </c>
      <c r="R20" s="21" t="s">
        <v>50</v>
      </c>
      <c r="S20" s="40">
        <f>$AE$12</f>
        <v>4</v>
      </c>
      <c r="T20" s="9" t="s">
        <v>51</v>
      </c>
      <c r="X20"/>
      <c r="Y20"/>
      <c r="Z20"/>
      <c r="AB20"/>
      <c r="AC20" s="5" t="s">
        <v>46</v>
      </c>
      <c r="AD20" s="12">
        <f>(AD6-AD8)/(-AD7+AD9)</f>
        <v>446.66666666666663</v>
      </c>
      <c r="AE20" s="12">
        <f>(AE6-AE8)/(-AE7+AE9)</f>
        <v>285.7715832748421</v>
      </c>
      <c r="AF20"/>
      <c r="AG20"/>
      <c r="AH20"/>
      <c r="AQ20"/>
      <c r="AT20" s="1"/>
      <c r="AW20"/>
      <c r="AX20"/>
      <c r="AY20"/>
      <c r="AZ20"/>
      <c r="BA20"/>
      <c r="BB20"/>
      <c r="BC20"/>
    </row>
    <row r="21" spans="4:55" ht="15" thickBot="1">
      <c r="D21" s="1" t="s">
        <v>81</v>
      </c>
      <c r="I21" s="1"/>
      <c r="O21" s="1" t="s">
        <v>81</v>
      </c>
      <c r="X21"/>
      <c r="Y21"/>
      <c r="Z21"/>
      <c r="AB21"/>
      <c r="AC21" s="5" t="s">
        <v>44</v>
      </c>
      <c r="AD21" s="15">
        <f>AD19*AD20</f>
        <v>50622.22222222222</v>
      </c>
      <c r="AE21" s="15">
        <f>AE19*AE20</f>
        <v>26131.781117349336</v>
      </c>
      <c r="AF21"/>
      <c r="AG21"/>
      <c r="AH21"/>
      <c r="AQ21"/>
      <c r="AT21" s="1"/>
      <c r="AW21"/>
      <c r="AX21"/>
      <c r="AY21"/>
      <c r="AZ21"/>
      <c r="BA21"/>
      <c r="BB21"/>
      <c r="BC21"/>
    </row>
    <row r="22" spans="4:55" ht="15" thickBot="1">
      <c r="D22" s="22"/>
      <c r="E22" s="23"/>
      <c r="F22" s="24">
        <f>AD14</f>
        <v>0.25</v>
      </c>
      <c r="G22" s="25">
        <f>AD15</f>
        <v>0.75</v>
      </c>
      <c r="O22" s="22"/>
      <c r="P22" s="23"/>
      <c r="Q22" s="24">
        <f>$AE14</f>
        <v>0.2</v>
      </c>
      <c r="R22" s="25">
        <f>$AE$15</f>
        <v>0.8</v>
      </c>
      <c r="T22"/>
      <c r="X22"/>
      <c r="Y22"/>
      <c r="Z22"/>
      <c r="AB22"/>
      <c r="AC22" s="5" t="s">
        <v>0</v>
      </c>
      <c r="AD22" s="12">
        <f>(AD19-AD11)/(2*AD12)</f>
        <v>25.393939393939394</v>
      </c>
      <c r="AE22" s="12">
        <f>(AE19-AE11)/(2*AE12)</f>
        <v>11.180361977338812</v>
      </c>
      <c r="AF22"/>
      <c r="AG22"/>
      <c r="AH22"/>
      <c r="AQ22"/>
      <c r="AT22" s="1"/>
      <c r="AW22"/>
      <c r="AX22"/>
      <c r="AY22"/>
      <c r="AZ22"/>
      <c r="BA22"/>
      <c r="BB22"/>
      <c r="BC22"/>
    </row>
    <row r="23" spans="4:56" ht="19.5" thickBot="1">
      <c r="D23" s="26" t="s">
        <v>52</v>
      </c>
      <c r="E23" s="27">
        <f>AD13</f>
        <v>3.0405058331794717</v>
      </c>
      <c r="F23" s="28" t="s">
        <v>53</v>
      </c>
      <c r="G23" s="29" t="s">
        <v>54</v>
      </c>
      <c r="H23"/>
      <c r="O23" s="26" t="s">
        <v>52</v>
      </c>
      <c r="P23" s="27">
        <f>$AE$13</f>
        <v>4.807838400295533</v>
      </c>
      <c r="Q23" s="28" t="s">
        <v>53</v>
      </c>
      <c r="R23" s="29" t="s">
        <v>54</v>
      </c>
      <c r="S23"/>
      <c r="T23"/>
      <c r="X23"/>
      <c r="Y23"/>
      <c r="Z23"/>
      <c r="AA23"/>
      <c r="AB23"/>
      <c r="AC23" s="5" t="s">
        <v>1</v>
      </c>
      <c r="AD23" s="15">
        <f>AD10+AD11*AD22+AD12*(AD22^2)</f>
        <v>2259.3050505050505</v>
      </c>
      <c r="AE23" s="15">
        <f>AE10+AE11*AE22+AE12*(AE22^2)</f>
        <v>1022.3626997319714</v>
      </c>
      <c r="AF23"/>
      <c r="AG23" s="92"/>
      <c r="AH23"/>
      <c r="AI23"/>
      <c r="AX23"/>
      <c r="AY23"/>
      <c r="AZ23"/>
      <c r="BA23"/>
      <c r="BB23"/>
      <c r="BC23"/>
      <c r="BD23"/>
    </row>
    <row r="24" spans="2:56" ht="15" thickBot="1">
      <c r="B24"/>
      <c r="C24"/>
      <c r="D24"/>
      <c r="E24"/>
      <c r="F24"/>
      <c r="G24"/>
      <c r="H24"/>
      <c r="J24"/>
      <c r="K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5" t="s">
        <v>2</v>
      </c>
      <c r="AD24" s="15">
        <f>AD23-AD10</f>
        <v>1459.3050505050505</v>
      </c>
      <c r="AE24" s="15">
        <f>AE23-AE10</f>
        <v>522.3626997319714</v>
      </c>
      <c r="AF24"/>
      <c r="AG24" s="92"/>
      <c r="AH24"/>
      <c r="AI24"/>
      <c r="AX24"/>
      <c r="AY24"/>
      <c r="AZ24"/>
      <c r="BA24"/>
      <c r="BB24"/>
      <c r="BC24"/>
      <c r="BD24"/>
    </row>
    <row r="25" spans="2:56" ht="15" thickBot="1">
      <c r="B25" s="13">
        <v>1</v>
      </c>
      <c r="C25" s="2" t="s">
        <v>55</v>
      </c>
      <c r="D25"/>
      <c r="E25"/>
      <c r="F25"/>
      <c r="G25"/>
      <c r="H25"/>
      <c r="J25"/>
      <c r="K25"/>
      <c r="M25" s="13">
        <v>1</v>
      </c>
      <c r="N25" s="2" t="s">
        <v>55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5" t="s">
        <v>3</v>
      </c>
      <c r="AD25" s="15">
        <f>(AD14/(AD14+AD15))*AD24</f>
        <v>364.82626262626263</v>
      </c>
      <c r="AE25" s="15">
        <f>(AE14/(AE14+AE15))*AE24</f>
        <v>104.47253994639428</v>
      </c>
      <c r="AF25"/>
      <c r="AG25" s="92"/>
      <c r="AH25"/>
      <c r="AI25"/>
      <c r="AX25"/>
      <c r="AY25"/>
      <c r="AZ25"/>
      <c r="BA25"/>
      <c r="BB25"/>
      <c r="BC25"/>
      <c r="BD25"/>
    </row>
    <row r="26" spans="2:56" ht="15" thickBot="1">
      <c r="B26" s="13"/>
      <c r="E26" s="31" t="s">
        <v>41</v>
      </c>
      <c r="F26" s="3"/>
      <c r="G26" s="33"/>
      <c r="H26"/>
      <c r="M26" s="13"/>
      <c r="P26" s="31" t="s">
        <v>41</v>
      </c>
      <c r="Q26" s="3"/>
      <c r="R26" s="33"/>
      <c r="S26"/>
      <c r="T26"/>
      <c r="W26"/>
      <c r="AB26"/>
      <c r="AC26" s="5" t="s">
        <v>4</v>
      </c>
      <c r="AD26" s="15">
        <f>(AD15/(AD14+AD15))*AD24</f>
        <v>1094.478787878788</v>
      </c>
      <c r="AE26" s="15">
        <f>(AE15/(AE14+AE15))*AE24</f>
        <v>417.8901597855771</v>
      </c>
      <c r="AF26"/>
      <c r="AG26" s="92"/>
      <c r="AJ26"/>
      <c r="AK26"/>
      <c r="AL26"/>
      <c r="AM26"/>
      <c r="AN26"/>
      <c r="AO26"/>
      <c r="AP26"/>
      <c r="AQ26"/>
      <c r="AX26"/>
      <c r="AY26"/>
      <c r="AZ26"/>
      <c r="BA26"/>
      <c r="BB26"/>
      <c r="BC26"/>
      <c r="BD26"/>
    </row>
    <row r="27" spans="2:56" ht="15" thickBot="1">
      <c r="B27" s="13"/>
      <c r="E27" s="31" t="s">
        <v>42</v>
      </c>
      <c r="F27" s="3"/>
      <c r="G27" s="33"/>
      <c r="H27"/>
      <c r="M27" s="13"/>
      <c r="P27" s="31" t="s">
        <v>42</v>
      </c>
      <c r="Q27" s="3"/>
      <c r="R27" s="33"/>
      <c r="S27"/>
      <c r="T27"/>
      <c r="W27"/>
      <c r="AB27"/>
      <c r="AC27" s="5" t="s">
        <v>5</v>
      </c>
      <c r="AD27" s="51">
        <f>AD25/AD17</f>
        <v>15.201094276094276</v>
      </c>
      <c r="AE27" s="51">
        <f>AE25/AE17</f>
        <v>5.223626997319714</v>
      </c>
      <c r="AF27"/>
      <c r="AG27" s="92"/>
      <c r="AK27"/>
      <c r="AL27"/>
      <c r="AM27"/>
      <c r="AN27"/>
      <c r="AO27"/>
      <c r="AP27"/>
      <c r="AQ27"/>
      <c r="AX27"/>
      <c r="AY27"/>
      <c r="AZ27"/>
      <c r="BA27"/>
      <c r="BB27"/>
      <c r="BC27"/>
      <c r="BD27"/>
    </row>
    <row r="28" spans="2:56" ht="15" thickBot="1">
      <c r="B28" s="13"/>
      <c r="E28" s="31" t="s">
        <v>43</v>
      </c>
      <c r="F28" s="3"/>
      <c r="G28" s="4"/>
      <c r="M28" s="13"/>
      <c r="P28" s="31" t="s">
        <v>43</v>
      </c>
      <c r="Q28" s="3"/>
      <c r="R28" s="4"/>
      <c r="T28"/>
      <c r="W28"/>
      <c r="AB28"/>
      <c r="AC28" s="5" t="s">
        <v>6</v>
      </c>
      <c r="AD28" s="51">
        <f>AD26/AD18</f>
        <v>6.8404924242424245</v>
      </c>
      <c r="AE28" s="51">
        <f>AE26/AE18</f>
        <v>1.8995007262980779</v>
      </c>
      <c r="AF28"/>
      <c r="AJ28"/>
      <c r="AK28"/>
      <c r="AL28"/>
      <c r="AM28"/>
      <c r="AN28"/>
      <c r="AO28"/>
      <c r="AP28"/>
      <c r="AQ28"/>
      <c r="AX28"/>
      <c r="AY28"/>
      <c r="AZ28"/>
      <c r="BA28"/>
      <c r="BB28"/>
      <c r="BC28"/>
      <c r="BD28"/>
    </row>
    <row r="29" spans="2:56" ht="15" thickBot="1">
      <c r="B29" s="30"/>
      <c r="C29"/>
      <c r="D29"/>
      <c r="E29" s="5" t="s">
        <v>79</v>
      </c>
      <c r="F29" s="32"/>
      <c r="G29" s="33"/>
      <c r="H29"/>
      <c r="J29"/>
      <c r="K29"/>
      <c r="M29" s="30"/>
      <c r="N29"/>
      <c r="O29"/>
      <c r="P29" s="5" t="s">
        <v>79</v>
      </c>
      <c r="Q29" s="32"/>
      <c r="R29" s="33"/>
      <c r="S29"/>
      <c r="T29"/>
      <c r="U29"/>
      <c r="V29"/>
      <c r="W29"/>
      <c r="AB29"/>
      <c r="AC29" s="5" t="s">
        <v>110</v>
      </c>
      <c r="AD29" s="51">
        <f>AD14*AD13*(AD27^(AD14-1))*(AD28^AD15)</f>
        <v>0.41763341067285376</v>
      </c>
      <c r="AE29" s="51">
        <f>AE14*AE13*(AE27^(AE14-1))*(AE28^AE15)</f>
        <v>0.4280689254066397</v>
      </c>
      <c r="AF29"/>
      <c r="AJ29"/>
      <c r="AK29"/>
      <c r="AL29"/>
      <c r="AM29"/>
      <c r="AN29"/>
      <c r="AO29"/>
      <c r="AP29"/>
      <c r="AQ29"/>
      <c r="AX29"/>
      <c r="AY29"/>
      <c r="AZ29"/>
      <c r="BA29"/>
      <c r="BB29"/>
      <c r="BC29"/>
      <c r="BD29"/>
    </row>
    <row r="30" spans="2:56" ht="15" thickBot="1">
      <c r="B30" s="30"/>
      <c r="C30"/>
      <c r="D30"/>
      <c r="E30"/>
      <c r="F30"/>
      <c r="G30"/>
      <c r="H30"/>
      <c r="J30"/>
      <c r="K30"/>
      <c r="M30" s="30"/>
      <c r="N30"/>
      <c r="O30"/>
      <c r="P30"/>
      <c r="Q30"/>
      <c r="R30"/>
      <c r="S30"/>
      <c r="T30"/>
      <c r="U30"/>
      <c r="V30"/>
      <c r="AB30"/>
      <c r="AC30" s="5" t="s">
        <v>111</v>
      </c>
      <c r="AD30" s="51">
        <f>AD15*AD13*(AD27^AD14)*(AD28^(AD15-1))</f>
        <v>2.784222737819026</v>
      </c>
      <c r="AE30" s="51">
        <f>AE15*AE13*(AE27^AE14)*(AE28^(AE15-1))</f>
        <v>4.708758179473038</v>
      </c>
      <c r="AF30"/>
      <c r="AJ30"/>
      <c r="AK30"/>
      <c r="AL30"/>
      <c r="AM30"/>
      <c r="AN30"/>
      <c r="AO30"/>
      <c r="AP30"/>
      <c r="AQ30"/>
      <c r="AX30"/>
      <c r="AY30"/>
      <c r="AZ30"/>
      <c r="BA30"/>
      <c r="BB30"/>
      <c r="BC30"/>
      <c r="BD30"/>
    </row>
    <row r="31" spans="2:56" ht="15" thickBot="1">
      <c r="B31" s="13">
        <v>2</v>
      </c>
      <c r="C31" s="2" t="s">
        <v>57</v>
      </c>
      <c r="D31"/>
      <c r="E31"/>
      <c r="F31"/>
      <c r="G31"/>
      <c r="H31"/>
      <c r="J31"/>
      <c r="K31"/>
      <c r="M31" s="13">
        <v>2</v>
      </c>
      <c r="N31" s="2" t="s">
        <v>57</v>
      </c>
      <c r="O31"/>
      <c r="P31"/>
      <c r="Q31"/>
      <c r="R31"/>
      <c r="S31"/>
      <c r="T31"/>
      <c r="U31"/>
      <c r="V31"/>
      <c r="AB31"/>
      <c r="AC31" s="5" t="s">
        <v>8</v>
      </c>
      <c r="AD31" s="51">
        <f>AD29/AD17</f>
        <v>0.017401392111368905</v>
      </c>
      <c r="AE31" s="51">
        <f>AE29/AE17</f>
        <v>0.021403446270331986</v>
      </c>
      <c r="AF31"/>
      <c r="AJ31"/>
      <c r="AK31"/>
      <c r="AL31"/>
      <c r="AM31"/>
      <c r="AN31"/>
      <c r="AO31"/>
      <c r="AP31"/>
      <c r="AQ31"/>
      <c r="AX31"/>
      <c r="AY31"/>
      <c r="AZ31"/>
      <c r="BA31"/>
      <c r="BB31"/>
      <c r="BC31"/>
      <c r="BD31"/>
    </row>
    <row r="32" spans="2:56" ht="15" thickBot="1">
      <c r="B32" s="13"/>
      <c r="C32" s="2"/>
      <c r="D32"/>
      <c r="E32" s="5" t="s">
        <v>75</v>
      </c>
      <c r="F32" s="32"/>
      <c r="G32" s="47"/>
      <c r="H32" s="9" t="s">
        <v>50</v>
      </c>
      <c r="J32"/>
      <c r="K32"/>
      <c r="M32" s="13"/>
      <c r="N32" s="2"/>
      <c r="O32"/>
      <c r="P32" s="5" t="s">
        <v>75</v>
      </c>
      <c r="Q32" s="32"/>
      <c r="R32" s="47"/>
      <c r="S32" s="9" t="s">
        <v>50</v>
      </c>
      <c r="T32"/>
      <c r="U32"/>
      <c r="V32"/>
      <c r="AB32"/>
      <c r="AC32" s="5" t="s">
        <v>7</v>
      </c>
      <c r="AD32" s="51">
        <f>AD30/AD18</f>
        <v>0.017401392111368912</v>
      </c>
      <c r="AE32" s="51">
        <f>AE30/AE18</f>
        <v>0.02140344627033199</v>
      </c>
      <c r="AF32"/>
      <c r="AJ32"/>
      <c r="AK32"/>
      <c r="AL32"/>
      <c r="AM32"/>
      <c r="AN32"/>
      <c r="AO32"/>
      <c r="AP32"/>
      <c r="AQ32"/>
      <c r="AX32"/>
      <c r="AY32"/>
      <c r="AZ32"/>
      <c r="BA32"/>
      <c r="BB32"/>
      <c r="BC32"/>
      <c r="BD32"/>
    </row>
    <row r="33" spans="2:56" ht="15" thickBot="1">
      <c r="B33" s="13"/>
      <c r="C33" s="2"/>
      <c r="D33"/>
      <c r="E33" s="5" t="s">
        <v>76</v>
      </c>
      <c r="F33" s="45"/>
      <c r="G33"/>
      <c r="H33"/>
      <c r="J33"/>
      <c r="K33"/>
      <c r="M33" s="13"/>
      <c r="N33" s="2"/>
      <c r="O33"/>
      <c r="P33" s="5" t="s">
        <v>76</v>
      </c>
      <c r="Q33" s="45"/>
      <c r="R33"/>
      <c r="S33"/>
      <c r="T33"/>
      <c r="U33"/>
      <c r="V33"/>
      <c r="AC33" s="5"/>
      <c r="AD33"/>
      <c r="AE33"/>
      <c r="AF33"/>
      <c r="AJ33"/>
      <c r="AK33"/>
      <c r="AL33"/>
      <c r="AM33"/>
      <c r="AN33"/>
      <c r="AO33"/>
      <c r="AP33"/>
      <c r="AQ33"/>
      <c r="AX33"/>
      <c r="AY33"/>
      <c r="AZ33"/>
      <c r="BA33"/>
      <c r="BB33"/>
      <c r="BC33"/>
      <c r="BD33"/>
    </row>
    <row r="34" spans="2:56" ht="15" thickBot="1">
      <c r="B34" s="30"/>
      <c r="C34"/>
      <c r="D34"/>
      <c r="E34" s="5" t="s">
        <v>42</v>
      </c>
      <c r="F34" s="17"/>
      <c r="G34"/>
      <c r="H34"/>
      <c r="J34"/>
      <c r="K34"/>
      <c r="M34" s="30"/>
      <c r="N34"/>
      <c r="O34"/>
      <c r="P34" s="5" t="s">
        <v>42</v>
      </c>
      <c r="Q34" s="17"/>
      <c r="R34"/>
      <c r="S34"/>
      <c r="T34"/>
      <c r="U34"/>
      <c r="V34"/>
      <c r="AC34" s="5"/>
      <c r="AF34"/>
      <c r="AJ34"/>
      <c r="AK34"/>
      <c r="AL34"/>
      <c r="AM34"/>
      <c r="AN34"/>
      <c r="AO34"/>
      <c r="AP34"/>
      <c r="AQ34"/>
      <c r="AX34"/>
      <c r="AY34"/>
      <c r="AZ34"/>
      <c r="BA34"/>
      <c r="BB34"/>
      <c r="BC34"/>
      <c r="BD34"/>
    </row>
    <row r="35" spans="2:43" ht="15" thickBot="1">
      <c r="B35" s="30"/>
      <c r="C35"/>
      <c r="D35"/>
      <c r="E35" s="5" t="s">
        <v>58</v>
      </c>
      <c r="F35" s="17"/>
      <c r="G35"/>
      <c r="H35"/>
      <c r="J35"/>
      <c r="K35"/>
      <c r="M35" s="30"/>
      <c r="N35"/>
      <c r="O35"/>
      <c r="P35" s="5" t="s">
        <v>58</v>
      </c>
      <c r="Q35" s="17"/>
      <c r="R35"/>
      <c r="S35"/>
      <c r="T35"/>
      <c r="U35"/>
      <c r="V35"/>
      <c r="AC35"/>
      <c r="AF35"/>
      <c r="AJ35"/>
      <c r="AK35"/>
      <c r="AL35"/>
      <c r="AM35"/>
      <c r="AN35"/>
      <c r="AO35"/>
      <c r="AP35"/>
      <c r="AQ35"/>
    </row>
    <row r="36" spans="2:43" ht="15" thickBot="1">
      <c r="B36" s="30"/>
      <c r="C36"/>
      <c r="D36"/>
      <c r="E36" s="5" t="s">
        <v>49</v>
      </c>
      <c r="F36" s="17"/>
      <c r="G36"/>
      <c r="H36"/>
      <c r="J36"/>
      <c r="K36"/>
      <c r="M36" s="30"/>
      <c r="N36"/>
      <c r="O36"/>
      <c r="P36" s="5" t="s">
        <v>49</v>
      </c>
      <c r="Q36" s="17"/>
      <c r="R36"/>
      <c r="S36"/>
      <c r="T36"/>
      <c r="U36"/>
      <c r="V36"/>
      <c r="AF36"/>
      <c r="AJ36"/>
      <c r="AK36"/>
      <c r="AL36"/>
      <c r="AM36"/>
      <c r="AN36"/>
      <c r="AO36"/>
      <c r="AP36"/>
      <c r="AQ36"/>
    </row>
    <row r="37" spans="2:43" ht="15" thickBot="1">
      <c r="B37" s="30"/>
      <c r="C37"/>
      <c r="D37"/>
      <c r="E37" s="5" t="s">
        <v>59</v>
      </c>
      <c r="F37" s="14"/>
      <c r="G37"/>
      <c r="H37"/>
      <c r="J37"/>
      <c r="K37"/>
      <c r="M37" s="30"/>
      <c r="N37"/>
      <c r="O37"/>
      <c r="P37" s="5" t="s">
        <v>59</v>
      </c>
      <c r="Q37" s="14"/>
      <c r="R37"/>
      <c r="S37"/>
      <c r="T37"/>
      <c r="U37"/>
      <c r="V37"/>
      <c r="AF37"/>
      <c r="AJ37"/>
      <c r="AK37"/>
      <c r="AL37"/>
      <c r="AM37"/>
      <c r="AN37"/>
      <c r="AO37"/>
      <c r="AP37"/>
      <c r="AQ37"/>
    </row>
    <row r="38" spans="2:43" ht="15" thickBot="1">
      <c r="B38" s="30"/>
      <c r="C38"/>
      <c r="D38"/>
      <c r="E38" s="5" t="s">
        <v>17</v>
      </c>
      <c r="F38" s="14"/>
      <c r="G38"/>
      <c r="H38"/>
      <c r="J38"/>
      <c r="K38"/>
      <c r="M38" s="30"/>
      <c r="N38"/>
      <c r="O38"/>
      <c r="P38" s="5" t="s">
        <v>17</v>
      </c>
      <c r="Q38" s="14"/>
      <c r="R38"/>
      <c r="S38"/>
      <c r="T38"/>
      <c r="U38"/>
      <c r="V38"/>
      <c r="AF38"/>
      <c r="AJ38"/>
      <c r="AK38"/>
      <c r="AL38"/>
      <c r="AM38"/>
      <c r="AN38"/>
      <c r="AO38"/>
      <c r="AP38"/>
      <c r="AQ38"/>
    </row>
    <row r="39" spans="2:43" ht="15" thickBot="1">
      <c r="B39" s="30"/>
      <c r="C39"/>
      <c r="D39"/>
      <c r="E39" s="5" t="s">
        <v>60</v>
      </c>
      <c r="F39" s="14"/>
      <c r="G39"/>
      <c r="H39"/>
      <c r="J39"/>
      <c r="K39"/>
      <c r="M39" s="30"/>
      <c r="N39"/>
      <c r="O39"/>
      <c r="P39" s="5" t="s">
        <v>60</v>
      </c>
      <c r="Q39" s="14"/>
      <c r="R39"/>
      <c r="S39"/>
      <c r="T39"/>
      <c r="U39"/>
      <c r="V39"/>
      <c r="AF39"/>
      <c r="AJ39"/>
      <c r="AK39"/>
      <c r="AL39"/>
      <c r="AM39"/>
      <c r="AN39"/>
      <c r="AO39"/>
      <c r="AP39"/>
      <c r="AQ39"/>
    </row>
    <row r="40" spans="2:43" ht="13.5">
      <c r="B40" s="13">
        <v>3</v>
      </c>
      <c r="C40" s="2" t="s">
        <v>61</v>
      </c>
      <c r="D40"/>
      <c r="E40" s="5"/>
      <c r="F40" s="2"/>
      <c r="G40"/>
      <c r="H40"/>
      <c r="J40"/>
      <c r="K40"/>
      <c r="M40" s="13">
        <v>3</v>
      </c>
      <c r="N40" s="2" t="s">
        <v>61</v>
      </c>
      <c r="O40"/>
      <c r="P40" s="5"/>
      <c r="Q40" s="2"/>
      <c r="R40"/>
      <c r="S40"/>
      <c r="T40"/>
      <c r="U40"/>
      <c r="V40"/>
      <c r="AJ40"/>
      <c r="AK40"/>
      <c r="AL40"/>
      <c r="AM40"/>
      <c r="AN40"/>
      <c r="AO40"/>
      <c r="AP40"/>
      <c r="AQ40"/>
    </row>
    <row r="41" spans="2:43" ht="15" thickBot="1">
      <c r="B41" s="2"/>
      <c r="C41" s="13" t="s">
        <v>62</v>
      </c>
      <c r="D41"/>
      <c r="E41" s="5"/>
      <c r="F41" s="2"/>
      <c r="G41"/>
      <c r="H41"/>
      <c r="J41"/>
      <c r="K41"/>
      <c r="M41" s="2"/>
      <c r="N41" s="13" t="s">
        <v>62</v>
      </c>
      <c r="O41"/>
      <c r="P41" s="5"/>
      <c r="Q41" s="2"/>
      <c r="R41"/>
      <c r="S41"/>
      <c r="T41"/>
      <c r="U41"/>
      <c r="V41"/>
      <c r="AJ41"/>
      <c r="AK41"/>
      <c r="AL41"/>
      <c r="AM41"/>
      <c r="AN41"/>
      <c r="AO41"/>
      <c r="AP41"/>
      <c r="AQ41"/>
    </row>
    <row r="42" spans="2:43" ht="15" thickBot="1">
      <c r="B42" s="30"/>
      <c r="C42"/>
      <c r="D42"/>
      <c r="E42" s="5" t="s">
        <v>63</v>
      </c>
      <c r="F42" s="16"/>
      <c r="G42" s="33"/>
      <c r="H42"/>
      <c r="J42"/>
      <c r="K42"/>
      <c r="M42" s="30"/>
      <c r="N42"/>
      <c r="O42"/>
      <c r="P42" s="5" t="s">
        <v>63</v>
      </c>
      <c r="Q42" s="16"/>
      <c r="R42" s="33"/>
      <c r="S42"/>
      <c r="T42"/>
      <c r="U42"/>
      <c r="V42"/>
      <c r="AJ42"/>
      <c r="AK42"/>
      <c r="AL42"/>
      <c r="AM42"/>
      <c r="AN42"/>
      <c r="AO42"/>
      <c r="AP42"/>
      <c r="AQ42"/>
    </row>
    <row r="43" spans="2:43" ht="19.5" thickBot="1">
      <c r="B43" s="30"/>
      <c r="C43"/>
      <c r="D43"/>
      <c r="E43" s="5" t="s">
        <v>66</v>
      </c>
      <c r="F43" s="20">
        <f>$AD$17</f>
        <v>24</v>
      </c>
      <c r="G43"/>
      <c r="H43"/>
      <c r="J43"/>
      <c r="K43"/>
      <c r="M43" s="30"/>
      <c r="N43"/>
      <c r="O43"/>
      <c r="P43" s="5" t="s">
        <v>66</v>
      </c>
      <c r="Q43" s="20">
        <f>$AE$17</f>
        <v>20</v>
      </c>
      <c r="R43"/>
      <c r="S43"/>
      <c r="T43"/>
      <c r="U43"/>
      <c r="V43"/>
      <c r="AJ43"/>
      <c r="AK43"/>
      <c r="AL43"/>
      <c r="AM43"/>
      <c r="AN43"/>
      <c r="AO43"/>
      <c r="AP43"/>
      <c r="AQ43"/>
    </row>
    <row r="44" spans="2:43" ht="19.5" thickBot="1">
      <c r="B44" s="30"/>
      <c r="C44"/>
      <c r="D44"/>
      <c r="E44" s="5" t="s">
        <v>67</v>
      </c>
      <c r="F44" s="20">
        <f>$AD$18</f>
        <v>160</v>
      </c>
      <c r="G44"/>
      <c r="H44"/>
      <c r="J44"/>
      <c r="K44"/>
      <c r="M44" s="30"/>
      <c r="N44"/>
      <c r="O44"/>
      <c r="P44" s="5" t="s">
        <v>67</v>
      </c>
      <c r="Q44" s="20">
        <f>$AE$18</f>
        <v>220</v>
      </c>
      <c r="R44"/>
      <c r="S44"/>
      <c r="T44"/>
      <c r="U44"/>
      <c r="V44"/>
      <c r="AJ44"/>
      <c r="AK44"/>
      <c r="AL44"/>
      <c r="AM44"/>
      <c r="AN44"/>
      <c r="AO44"/>
      <c r="AP44"/>
      <c r="AQ44"/>
    </row>
    <row r="45" spans="2:43" ht="15" thickBot="1">
      <c r="B45" s="30"/>
      <c r="C45"/>
      <c r="D45"/>
      <c r="E45"/>
      <c r="F45" s="5" t="s">
        <v>64</v>
      </c>
      <c r="G45" s="2" t="s">
        <v>65</v>
      </c>
      <c r="H45"/>
      <c r="J45"/>
      <c r="K45"/>
      <c r="M45" s="30"/>
      <c r="N45"/>
      <c r="O45"/>
      <c r="P45"/>
      <c r="Q45" s="5" t="s">
        <v>64</v>
      </c>
      <c r="R45" s="2" t="s">
        <v>65</v>
      </c>
      <c r="S45"/>
      <c r="T45"/>
      <c r="U45"/>
      <c r="V45"/>
      <c r="AJ45"/>
      <c r="AK45"/>
      <c r="AL45"/>
      <c r="AM45"/>
      <c r="AN45"/>
      <c r="AO45"/>
      <c r="AP45"/>
      <c r="AQ45"/>
    </row>
    <row r="46" spans="2:43" ht="19.5" thickBot="1">
      <c r="B46" s="30"/>
      <c r="C46"/>
      <c r="D46"/>
      <c r="E46" s="5" t="s">
        <v>68</v>
      </c>
      <c r="F46" s="17"/>
      <c r="G46" s="17"/>
      <c r="H46"/>
      <c r="J46"/>
      <c r="K46"/>
      <c r="M46" s="30"/>
      <c r="N46"/>
      <c r="O46"/>
      <c r="P46" s="5" t="s">
        <v>68</v>
      </c>
      <c r="Q46" s="17"/>
      <c r="R46" s="17"/>
      <c r="S46"/>
      <c r="T46"/>
      <c r="U46"/>
      <c r="V46"/>
      <c r="AJ46"/>
      <c r="AK46"/>
      <c r="AL46"/>
      <c r="AM46"/>
      <c r="AN46"/>
      <c r="AO46"/>
      <c r="AP46"/>
      <c r="AQ46"/>
    </row>
    <row r="47" spans="2:43" ht="19.5" thickBot="1">
      <c r="B47" s="30"/>
      <c r="C47"/>
      <c r="D47"/>
      <c r="E47" s="5" t="s">
        <v>69</v>
      </c>
      <c r="F47" s="17"/>
      <c r="G47" s="17"/>
      <c r="H47"/>
      <c r="J47"/>
      <c r="K47"/>
      <c r="M47" s="30"/>
      <c r="N47"/>
      <c r="O47"/>
      <c r="P47" s="5" t="s">
        <v>69</v>
      </c>
      <c r="Q47" s="17"/>
      <c r="R47" s="17"/>
      <c r="S47"/>
      <c r="T47"/>
      <c r="U47"/>
      <c r="V47"/>
      <c r="AJ47"/>
      <c r="AK47"/>
      <c r="AL47"/>
      <c r="AM47"/>
      <c r="AN47"/>
      <c r="AO47"/>
      <c r="AP47"/>
      <c r="AQ47"/>
    </row>
    <row r="48" spans="2:43" ht="15" thickBot="1">
      <c r="B48" s="30"/>
      <c r="C48"/>
      <c r="D48"/>
      <c r="E48" s="5" t="s">
        <v>77</v>
      </c>
      <c r="F48" s="17"/>
      <c r="G48" s="50"/>
      <c r="H48"/>
      <c r="J48"/>
      <c r="K48"/>
      <c r="M48" s="30"/>
      <c r="N48"/>
      <c r="O48"/>
      <c r="P48" s="5" t="s">
        <v>77</v>
      </c>
      <c r="Q48" s="17"/>
      <c r="R48" s="50"/>
      <c r="S48"/>
      <c r="T48"/>
      <c r="U48"/>
      <c r="V48"/>
      <c r="AJ48"/>
      <c r="AK48"/>
      <c r="AL48"/>
      <c r="AM48"/>
      <c r="AN48"/>
      <c r="AO48"/>
      <c r="AP48"/>
      <c r="AQ48"/>
    </row>
    <row r="49" spans="2:43" ht="15" thickBot="1">
      <c r="B49" s="30"/>
      <c r="C49"/>
      <c r="D49"/>
      <c r="E49" s="5" t="s">
        <v>78</v>
      </c>
      <c r="F49" s="17"/>
      <c r="G49" s="50"/>
      <c r="H49"/>
      <c r="J49"/>
      <c r="K49"/>
      <c r="M49" s="30"/>
      <c r="N49"/>
      <c r="O49"/>
      <c r="P49" s="5" t="s">
        <v>78</v>
      </c>
      <c r="Q49" s="17"/>
      <c r="R49" s="50"/>
      <c r="S49"/>
      <c r="T49"/>
      <c r="U49"/>
      <c r="V49"/>
      <c r="AJ49"/>
      <c r="AK49"/>
      <c r="AL49"/>
      <c r="AM49"/>
      <c r="AN49"/>
      <c r="AO49"/>
      <c r="AP49"/>
      <c r="AQ49"/>
    </row>
    <row r="50" spans="2:43" ht="13.5">
      <c r="B50" s="13">
        <v>4</v>
      </c>
      <c r="C50" s="2" t="s">
        <v>70</v>
      </c>
      <c r="D50"/>
      <c r="E50"/>
      <c r="F50"/>
      <c r="G50"/>
      <c r="H50"/>
      <c r="J50"/>
      <c r="K50"/>
      <c r="M50" s="13">
        <v>4</v>
      </c>
      <c r="N50" s="2" t="s">
        <v>70</v>
      </c>
      <c r="O50"/>
      <c r="P50"/>
      <c r="Q50"/>
      <c r="R50"/>
      <c r="S50"/>
      <c r="T50"/>
      <c r="U50"/>
      <c r="V50"/>
      <c r="AJ50"/>
      <c r="AK50"/>
      <c r="AL50"/>
      <c r="AM50"/>
      <c r="AN50"/>
      <c r="AO50"/>
      <c r="AP50"/>
      <c r="AQ50"/>
    </row>
    <row r="51" spans="2:43" ht="15" thickBot="1">
      <c r="B51" s="30"/>
      <c r="C51"/>
      <c r="E51" s="5" t="s">
        <v>71</v>
      </c>
      <c r="F51" s="34"/>
      <c r="G51" s="34"/>
      <c r="H51"/>
      <c r="J51"/>
      <c r="K51"/>
      <c r="M51" s="30"/>
      <c r="N51"/>
      <c r="P51" s="5" t="s">
        <v>71</v>
      </c>
      <c r="Q51" s="34"/>
      <c r="R51" s="34"/>
      <c r="S51"/>
      <c r="T51"/>
      <c r="U51"/>
      <c r="V51"/>
      <c r="AJ51"/>
      <c r="AK51"/>
      <c r="AL51"/>
      <c r="AM51"/>
      <c r="AN51"/>
      <c r="AO51"/>
      <c r="AP51"/>
      <c r="AQ51"/>
    </row>
    <row r="52" spans="2:43" ht="15" thickBot="1">
      <c r="B52" s="30"/>
      <c r="C52"/>
      <c r="E52" s="5" t="s">
        <v>72</v>
      </c>
      <c r="F52" s="34"/>
      <c r="G52" s="34"/>
      <c r="H52"/>
      <c r="J52"/>
      <c r="K52"/>
      <c r="M52" s="30"/>
      <c r="N52"/>
      <c r="P52" s="5" t="s">
        <v>72</v>
      </c>
      <c r="Q52" s="34"/>
      <c r="R52" s="34"/>
      <c r="S52"/>
      <c r="T52"/>
      <c r="U52"/>
      <c r="V52"/>
      <c r="AJ52"/>
      <c r="AK52"/>
      <c r="AL52"/>
      <c r="AM52"/>
      <c r="AN52"/>
      <c r="AO52"/>
      <c r="AP52"/>
      <c r="AQ52"/>
    </row>
    <row r="53" spans="2:43" ht="15" thickBot="1">
      <c r="B53" s="30"/>
      <c r="C53"/>
      <c r="E53" s="5" t="s">
        <v>73</v>
      </c>
      <c r="F53" s="34"/>
      <c r="G53" s="34"/>
      <c r="H53"/>
      <c r="J53"/>
      <c r="K53"/>
      <c r="M53" s="30"/>
      <c r="N53"/>
      <c r="P53" s="5" t="s">
        <v>73</v>
      </c>
      <c r="Q53" s="34"/>
      <c r="R53" s="34"/>
      <c r="S53"/>
      <c r="T53"/>
      <c r="U53"/>
      <c r="V53"/>
      <c r="AJ53"/>
      <c r="AK53"/>
      <c r="AL53"/>
      <c r="AM53"/>
      <c r="AN53"/>
      <c r="AO53"/>
      <c r="AP53"/>
      <c r="AQ53"/>
    </row>
    <row r="54" spans="2:43" ht="15" thickBot="1">
      <c r="B54" s="30"/>
      <c r="C54"/>
      <c r="E54" s="5" t="s">
        <v>74</v>
      </c>
      <c r="F54" s="34"/>
      <c r="G54" s="34"/>
      <c r="H54"/>
      <c r="J54"/>
      <c r="K54"/>
      <c r="M54" s="30"/>
      <c r="N54"/>
      <c r="P54" s="5" t="s">
        <v>74</v>
      </c>
      <c r="Q54" s="34"/>
      <c r="R54" s="34"/>
      <c r="S54"/>
      <c r="T54"/>
      <c r="U54"/>
      <c r="V54"/>
      <c r="AJ54"/>
      <c r="AK54"/>
      <c r="AL54"/>
      <c r="AM54"/>
      <c r="AN54"/>
      <c r="AO54"/>
      <c r="AP54"/>
      <c r="AQ54"/>
    </row>
    <row r="55" spans="2:43" ht="13.5">
      <c r="B55" s="13">
        <v>5</v>
      </c>
      <c r="C55" s="2" t="s">
        <v>36</v>
      </c>
      <c r="D55"/>
      <c r="E55"/>
      <c r="F55"/>
      <c r="G55"/>
      <c r="H55"/>
      <c r="J55"/>
      <c r="K55"/>
      <c r="M55" s="13">
        <v>5</v>
      </c>
      <c r="N55" s="2" t="s">
        <v>36</v>
      </c>
      <c r="O55"/>
      <c r="P55"/>
      <c r="Q55"/>
      <c r="R55"/>
      <c r="S55"/>
      <c r="T55"/>
      <c r="U55"/>
      <c r="V55"/>
      <c r="AJ55"/>
      <c r="AK55"/>
      <c r="AL55"/>
      <c r="AM55"/>
      <c r="AN55"/>
      <c r="AO55"/>
      <c r="AP55"/>
      <c r="AQ55"/>
    </row>
    <row r="56" spans="2:43" ht="13.5">
      <c r="B56"/>
      <c r="C56"/>
      <c r="D56"/>
      <c r="E56"/>
      <c r="F56"/>
      <c r="G56"/>
      <c r="H56"/>
      <c r="J56"/>
      <c r="K56"/>
      <c r="M56"/>
      <c r="N56"/>
      <c r="O56"/>
      <c r="P56"/>
      <c r="Q56"/>
      <c r="R56"/>
      <c r="S56"/>
      <c r="T56"/>
      <c r="U56"/>
      <c r="V56"/>
      <c r="X56"/>
      <c r="Y56"/>
      <c r="Z56"/>
      <c r="AA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2:43" ht="15" thickBot="1">
      <c r="B57"/>
      <c r="C57"/>
      <c r="D57"/>
      <c r="E57"/>
      <c r="F57"/>
      <c r="G57"/>
      <c r="H57"/>
      <c r="J57"/>
      <c r="K57"/>
      <c r="M57"/>
      <c r="N57"/>
      <c r="O57"/>
      <c r="P57"/>
      <c r="Q57"/>
      <c r="R57"/>
      <c r="S57"/>
      <c r="T57"/>
      <c r="U57"/>
      <c r="V57"/>
      <c r="X57"/>
      <c r="Y57"/>
      <c r="Z57"/>
      <c r="AA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4:57" ht="15" thickBot="1">
      <c r="D58" s="35"/>
      <c r="E58" s="37"/>
      <c r="F58" s="38" t="s">
        <v>117</v>
      </c>
      <c r="G58" s="37"/>
      <c r="H58" s="39"/>
      <c r="I58" s="42"/>
      <c r="O58" s="35"/>
      <c r="P58" s="37"/>
      <c r="Q58" s="38" t="s">
        <v>109</v>
      </c>
      <c r="R58" s="37"/>
      <c r="S58" s="39"/>
      <c r="T58" s="42"/>
      <c r="W58"/>
      <c r="X58"/>
      <c r="Y58"/>
      <c r="Z58"/>
      <c r="AA58"/>
      <c r="AB58"/>
      <c r="AF58"/>
      <c r="AG58"/>
      <c r="AH58"/>
      <c r="AI58"/>
      <c r="AJ58"/>
      <c r="AK58"/>
      <c r="AL58"/>
      <c r="AM58"/>
      <c r="AN58"/>
      <c r="AO58"/>
      <c r="AP58"/>
      <c r="AQ58"/>
      <c r="AX58"/>
      <c r="AY58"/>
      <c r="AZ58"/>
      <c r="BA58"/>
      <c r="BB58"/>
      <c r="BC58"/>
      <c r="BD58"/>
      <c r="BE58"/>
    </row>
    <row r="59" spans="9:57" ht="15" thickBot="1">
      <c r="I59" s="1"/>
      <c r="J59" s="5" t="s">
        <v>108</v>
      </c>
      <c r="K59" s="5"/>
      <c r="U59" s="5" t="s">
        <v>108</v>
      </c>
      <c r="V59" s="5"/>
      <c r="W59"/>
      <c r="X59"/>
      <c r="Y59"/>
      <c r="Z59"/>
      <c r="AA59"/>
      <c r="AB59"/>
      <c r="AF59"/>
      <c r="AG59"/>
      <c r="AH59"/>
      <c r="AI59"/>
      <c r="AJ59"/>
      <c r="AK59"/>
      <c r="AL59"/>
      <c r="AM59"/>
      <c r="AN59"/>
      <c r="AO59"/>
      <c r="AP59"/>
      <c r="AQ59"/>
      <c r="AX59"/>
      <c r="AY59"/>
      <c r="AZ59"/>
      <c r="BA59"/>
      <c r="BB59"/>
      <c r="BC59"/>
      <c r="BD59"/>
      <c r="BE59"/>
    </row>
    <row r="60" spans="5:57" ht="15" thickBot="1">
      <c r="E60" s="85"/>
      <c r="F60" s="86" t="s">
        <v>118</v>
      </c>
      <c r="G60" s="87"/>
      <c r="I60" s="1"/>
      <c r="J60" s="5"/>
      <c r="K60" s="5"/>
      <c r="P60" s="85"/>
      <c r="Q60" s="86" t="s">
        <v>9</v>
      </c>
      <c r="R60" s="87"/>
      <c r="U60" s="5"/>
      <c r="V60" s="5"/>
      <c r="W60"/>
      <c r="X60"/>
      <c r="Y60"/>
      <c r="Z60"/>
      <c r="AA60"/>
      <c r="AB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X60"/>
      <c r="AY60"/>
      <c r="AZ60"/>
      <c r="BA60"/>
      <c r="BB60"/>
      <c r="BC60"/>
      <c r="BD60"/>
      <c r="BE60"/>
    </row>
    <row r="61" spans="2:57" ht="13.5">
      <c r="B61" s="1" t="s">
        <v>47</v>
      </c>
      <c r="D61" s="10"/>
      <c r="E61" s="11"/>
      <c r="F61" s="10"/>
      <c r="M61" s="1" t="s">
        <v>47</v>
      </c>
      <c r="O61" s="10"/>
      <c r="P61" s="11"/>
      <c r="Q61" s="10"/>
      <c r="T61"/>
      <c r="W61"/>
      <c r="X61"/>
      <c r="Y61"/>
      <c r="Z61"/>
      <c r="AA61"/>
      <c r="AB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X61"/>
      <c r="AY61"/>
      <c r="AZ61"/>
      <c r="BA61"/>
      <c r="BB61"/>
      <c r="BC61"/>
      <c r="BD61"/>
      <c r="BE61"/>
    </row>
    <row r="62" spans="3:57" ht="15" thickBot="1">
      <c r="C62" s="2" t="s">
        <v>48</v>
      </c>
      <c r="N62" s="2" t="s">
        <v>48</v>
      </c>
      <c r="T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X62"/>
      <c r="AY62"/>
      <c r="AZ62"/>
      <c r="BA62"/>
      <c r="BB62"/>
      <c r="BC62"/>
      <c r="BD62"/>
      <c r="BE62"/>
    </row>
    <row r="63" spans="4:57" ht="15" thickBot="1">
      <c r="D63" s="7" t="s">
        <v>37</v>
      </c>
      <c r="E63" s="8">
        <f>AD6</f>
        <v>225</v>
      </c>
      <c r="F63" s="8">
        <f>AD7</f>
        <v>-0.25</v>
      </c>
      <c r="G63" s="9" t="s">
        <v>38</v>
      </c>
      <c r="O63" s="7" t="s">
        <v>37</v>
      </c>
      <c r="P63" s="8">
        <f>$AE$6</f>
        <v>248</v>
      </c>
      <c r="Q63" s="129">
        <f>$AE$7</f>
        <v>-0.54784</v>
      </c>
      <c r="R63" s="9" t="s">
        <v>38</v>
      </c>
      <c r="T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X63"/>
      <c r="AY63"/>
      <c r="AZ63"/>
      <c r="BA63"/>
      <c r="BB63"/>
      <c r="BC63"/>
      <c r="BD63"/>
      <c r="BE63"/>
    </row>
    <row r="64" spans="4:57" ht="15" thickBot="1">
      <c r="D64" s="2"/>
      <c r="E64" s="2"/>
      <c r="F64" s="2"/>
      <c r="G64" s="2"/>
      <c r="O64" s="2"/>
      <c r="P64" s="2"/>
      <c r="Q64" s="130"/>
      <c r="R64" s="2"/>
      <c r="T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X64"/>
      <c r="AY64"/>
      <c r="AZ64"/>
      <c r="BA64"/>
      <c r="BB64"/>
      <c r="BC64"/>
      <c r="BD64"/>
      <c r="BE64"/>
    </row>
    <row r="65" spans="4:57" ht="15" thickBot="1">
      <c r="D65" s="7" t="s">
        <v>39</v>
      </c>
      <c r="E65" s="8">
        <f>AD8</f>
        <v>24</v>
      </c>
      <c r="F65" s="40">
        <f>AD9</f>
        <v>0.2</v>
      </c>
      <c r="G65" s="9" t="s">
        <v>40</v>
      </c>
      <c r="O65" s="7" t="s">
        <v>39</v>
      </c>
      <c r="P65" s="8">
        <f>$AE$8</f>
        <v>20</v>
      </c>
      <c r="Q65" s="129">
        <f>$AE$9</f>
        <v>0.25</v>
      </c>
      <c r="R65" s="9" t="s">
        <v>40</v>
      </c>
      <c r="T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X65"/>
      <c r="AY65"/>
      <c r="AZ65"/>
      <c r="BA65"/>
      <c r="BB65"/>
      <c r="BC65"/>
      <c r="BD65"/>
      <c r="BE65"/>
    </row>
    <row r="66" spans="4:57" ht="15" thickBot="1">
      <c r="D66" s="31"/>
      <c r="E66" s="76"/>
      <c r="F66" s="77"/>
      <c r="G66" s="78"/>
      <c r="O66" s="31"/>
      <c r="P66" s="76"/>
      <c r="Q66" s="77"/>
      <c r="R66" s="78"/>
      <c r="T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X66"/>
      <c r="AY66"/>
      <c r="AZ66"/>
      <c r="BA66"/>
      <c r="BB66"/>
      <c r="BC66"/>
      <c r="BD66"/>
      <c r="BE66"/>
    </row>
    <row r="67" spans="4:57" ht="22.5" customHeight="1" thickBot="1">
      <c r="D67" s="81" t="s">
        <v>35</v>
      </c>
      <c r="E67" s="8"/>
      <c r="F67" s="40"/>
      <c r="G67" s="75">
        <f>$AD$16</f>
        <v>0.1</v>
      </c>
      <c r="O67" s="81" t="s">
        <v>35</v>
      </c>
      <c r="P67" s="8"/>
      <c r="Q67" s="40"/>
      <c r="R67" s="75">
        <f>$AE$16</f>
        <v>0.12</v>
      </c>
      <c r="T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X67"/>
      <c r="AY67"/>
      <c r="AZ67"/>
      <c r="BA67"/>
      <c r="BB67"/>
      <c r="BC67"/>
      <c r="BD67"/>
      <c r="BE67"/>
    </row>
    <row r="68" spans="20:57" ht="13.5">
      <c r="T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X68"/>
      <c r="AY68"/>
      <c r="AZ68"/>
      <c r="BA68"/>
      <c r="BB68"/>
      <c r="BC68"/>
      <c r="BD68"/>
      <c r="BE68"/>
    </row>
    <row r="69" spans="3:57" ht="13.5">
      <c r="C69" s="2" t="s">
        <v>91</v>
      </c>
      <c r="N69" s="2" t="s">
        <v>91</v>
      </c>
      <c r="T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X69"/>
      <c r="AY69"/>
      <c r="AZ69"/>
      <c r="BA69"/>
      <c r="BB69"/>
      <c r="BC69"/>
      <c r="BD69"/>
      <c r="BE69"/>
    </row>
    <row r="70" spans="4:57" ht="15" thickBot="1">
      <c r="D70" s="1" t="s">
        <v>89</v>
      </c>
      <c r="O70" s="1" t="s">
        <v>89</v>
      </c>
      <c r="T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X70"/>
      <c r="AY70"/>
      <c r="AZ70"/>
      <c r="BA70"/>
      <c r="BB70"/>
      <c r="BC70"/>
      <c r="BD70"/>
      <c r="BE70"/>
    </row>
    <row r="71" spans="4:57" ht="21" thickBot="1">
      <c r="D71" s="7" t="s">
        <v>49</v>
      </c>
      <c r="E71" s="8">
        <f>AD10</f>
        <v>800</v>
      </c>
      <c r="F71" s="40">
        <f>AD11</f>
        <v>1.6</v>
      </c>
      <c r="G71" s="21" t="s">
        <v>50</v>
      </c>
      <c r="H71" s="40">
        <f>AD12</f>
        <v>2.2</v>
      </c>
      <c r="I71" s="9" t="s">
        <v>51</v>
      </c>
      <c r="O71" s="7" t="s">
        <v>49</v>
      </c>
      <c r="P71" s="8">
        <f>$AE$10</f>
        <v>500</v>
      </c>
      <c r="Q71" s="40">
        <f>$AE$11</f>
        <v>2</v>
      </c>
      <c r="R71" s="21" t="s">
        <v>50</v>
      </c>
      <c r="S71" s="40">
        <f>$AE$12</f>
        <v>4</v>
      </c>
      <c r="T71" s="9" t="s">
        <v>51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X71"/>
      <c r="AY71"/>
      <c r="AZ71"/>
      <c r="BA71"/>
      <c r="BB71"/>
      <c r="BC71"/>
      <c r="BD71"/>
      <c r="BE71"/>
    </row>
    <row r="72" spans="4:43" ht="15" thickBot="1">
      <c r="D72" s="1" t="s">
        <v>90</v>
      </c>
      <c r="H72"/>
      <c r="O72" s="1" t="s">
        <v>90</v>
      </c>
      <c r="S72"/>
      <c r="T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4:43" ht="13.5">
      <c r="D73" s="22"/>
      <c r="E73" s="23"/>
      <c r="F73" s="24">
        <f>AD14</f>
        <v>0.25</v>
      </c>
      <c r="G73" s="25">
        <f>AD15</f>
        <v>0.75</v>
      </c>
      <c r="O73" s="22"/>
      <c r="P73" s="23"/>
      <c r="Q73" s="24">
        <f>$AE$14</f>
        <v>0.2</v>
      </c>
      <c r="R73" s="25">
        <f>$AE$15</f>
        <v>0.8</v>
      </c>
      <c r="T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4:43" ht="19.5" thickBot="1">
      <c r="D74" s="26" t="s">
        <v>52</v>
      </c>
      <c r="E74" s="27">
        <f>AD13</f>
        <v>3.0405058331794717</v>
      </c>
      <c r="F74" s="28" t="s">
        <v>53</v>
      </c>
      <c r="G74" s="29" t="s">
        <v>54</v>
      </c>
      <c r="H74"/>
      <c r="O74" s="26" t="s">
        <v>52</v>
      </c>
      <c r="P74" s="27">
        <f>$AE$13</f>
        <v>4.807838400295533</v>
      </c>
      <c r="Q74" s="28" t="s">
        <v>53</v>
      </c>
      <c r="R74" s="29" t="s">
        <v>54</v>
      </c>
      <c r="S74"/>
      <c r="T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2:43" ht="13.5">
      <c r="B75"/>
      <c r="C75"/>
      <c r="D75"/>
      <c r="E75"/>
      <c r="F75"/>
      <c r="G75"/>
      <c r="H75"/>
      <c r="J75"/>
      <c r="K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2:43" ht="15" thickBot="1">
      <c r="B76" s="13">
        <v>1</v>
      </c>
      <c r="C76" s="2" t="s">
        <v>55</v>
      </c>
      <c r="D76"/>
      <c r="E76"/>
      <c r="F76"/>
      <c r="G76"/>
      <c r="H76"/>
      <c r="J76"/>
      <c r="K76"/>
      <c r="M76" s="13">
        <v>1</v>
      </c>
      <c r="N76" s="2" t="s">
        <v>55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2:43" ht="15" thickBot="1">
      <c r="B77" s="13"/>
      <c r="E77" s="31" t="s">
        <v>41</v>
      </c>
      <c r="F77" s="53">
        <f>E63+F63*F78</f>
        <v>113.33333333333334</v>
      </c>
      <c r="G77" s="43"/>
      <c r="H77"/>
      <c r="M77" s="13"/>
      <c r="P77" s="31" t="s">
        <v>41</v>
      </c>
      <c r="Q77" s="53">
        <f>P63+Q63*Q78</f>
        <v>91.4428958187105</v>
      </c>
      <c r="R77" s="43"/>
      <c r="S77"/>
      <c r="T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2:43" ht="15" thickBot="1">
      <c r="B78" s="13"/>
      <c r="E78" s="31" t="s">
        <v>42</v>
      </c>
      <c r="F78" s="54">
        <f>(E63-E65)/(-F63+F65)</f>
        <v>446.66666666666663</v>
      </c>
      <c r="G78" s="43"/>
      <c r="H78"/>
      <c r="M78" s="13"/>
      <c r="P78" s="31" t="s">
        <v>42</v>
      </c>
      <c r="Q78" s="54">
        <f>(P63-P65)/(-Q63+Q65)</f>
        <v>285.7715832748421</v>
      </c>
      <c r="R78" s="43"/>
      <c r="S78"/>
      <c r="T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2:43" ht="15" thickBot="1">
      <c r="B79" s="13"/>
      <c r="E79" s="31" t="s">
        <v>43</v>
      </c>
      <c r="F79" s="53">
        <f>F77*F78</f>
        <v>50622.22222222222</v>
      </c>
      <c r="G79" s="44"/>
      <c r="M79" s="13"/>
      <c r="P79" s="31" t="s">
        <v>43</v>
      </c>
      <c r="Q79" s="53">
        <f>Q77*Q78</f>
        <v>26131.781117349336</v>
      </c>
      <c r="R79" s="44"/>
      <c r="T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2:43" ht="15" thickBot="1">
      <c r="B80" s="30"/>
      <c r="C80"/>
      <c r="D80"/>
      <c r="E80" s="5" t="s">
        <v>56</v>
      </c>
      <c r="F80" s="95">
        <f>F77/(F63*F78)</f>
        <v>-1.0149253731343286</v>
      </c>
      <c r="G80" s="43"/>
      <c r="H80"/>
      <c r="J80"/>
      <c r="K80"/>
      <c r="M80" s="30"/>
      <c r="N80"/>
      <c r="O80"/>
      <c r="P80" s="5" t="s">
        <v>56</v>
      </c>
      <c r="Q80" s="95">
        <f>Q77/(Q63*Q78)</f>
        <v>-0.5840865305787832</v>
      </c>
      <c r="R80" s="43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2:43" ht="13.5">
      <c r="B81" s="30"/>
      <c r="C81"/>
      <c r="D81"/>
      <c r="E81"/>
      <c r="F81"/>
      <c r="G81"/>
      <c r="H81"/>
      <c r="J81"/>
      <c r="K81"/>
      <c r="M81" s="30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2:43" ht="15" thickBot="1">
      <c r="B82" s="13">
        <v>2</v>
      </c>
      <c r="C82" s="2" t="s">
        <v>57</v>
      </c>
      <c r="D82"/>
      <c r="E82"/>
      <c r="F82"/>
      <c r="G82"/>
      <c r="H82"/>
      <c r="J82"/>
      <c r="K82"/>
      <c r="M82" s="13">
        <v>2</v>
      </c>
      <c r="N82" s="2" t="s">
        <v>57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2:43" ht="15" thickBot="1">
      <c r="B83" s="13"/>
      <c r="C83" s="2"/>
      <c r="D83"/>
      <c r="E83" s="5" t="s">
        <v>75</v>
      </c>
      <c r="F83" s="48">
        <f>F71</f>
        <v>1.6</v>
      </c>
      <c r="G83" s="40">
        <f>2*H71</f>
        <v>4.4</v>
      </c>
      <c r="H83" s="9" t="s">
        <v>50</v>
      </c>
      <c r="J83"/>
      <c r="K83"/>
      <c r="M83" s="13"/>
      <c r="N83" s="2"/>
      <c r="O83"/>
      <c r="P83" s="5" t="s">
        <v>75</v>
      </c>
      <c r="Q83" s="48">
        <f>Q71</f>
        <v>2</v>
      </c>
      <c r="R83" s="40">
        <f>2*S71</f>
        <v>8</v>
      </c>
      <c r="S83" s="9" t="s">
        <v>50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2:43" ht="15" thickBot="1">
      <c r="B84" s="13"/>
      <c r="C84" s="2"/>
      <c r="D84"/>
      <c r="E84" s="5" t="s">
        <v>76</v>
      </c>
      <c r="F84" s="49">
        <f>F77</f>
        <v>113.33333333333334</v>
      </c>
      <c r="G84"/>
      <c r="H84"/>
      <c r="J84"/>
      <c r="K84"/>
      <c r="M84" s="13"/>
      <c r="N84" s="2"/>
      <c r="O84"/>
      <c r="P84" s="5" t="s">
        <v>76</v>
      </c>
      <c r="Q84" s="49">
        <f>Q77</f>
        <v>91.4428958187105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2:43" ht="15" thickBot="1">
      <c r="B85" s="30"/>
      <c r="C85"/>
      <c r="D85"/>
      <c r="E85" s="5" t="s">
        <v>42</v>
      </c>
      <c r="F85" s="12">
        <f>(F84-F83)/G83</f>
        <v>25.393939393939394</v>
      </c>
      <c r="G85"/>
      <c r="H85"/>
      <c r="J85"/>
      <c r="K85"/>
      <c r="M85" s="30"/>
      <c r="N85"/>
      <c r="O85"/>
      <c r="P85" s="5" t="s">
        <v>42</v>
      </c>
      <c r="Q85" s="12">
        <f>(Q84-Q83)/R83</f>
        <v>11.180361977338812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2:43" ht="15" thickBot="1">
      <c r="B86" s="30"/>
      <c r="C86"/>
      <c r="D86"/>
      <c r="E86" s="5" t="s">
        <v>58</v>
      </c>
      <c r="F86" s="20">
        <f>F85*F77</f>
        <v>2877.979797979798</v>
      </c>
      <c r="G86"/>
      <c r="H86"/>
      <c r="J86"/>
      <c r="K86"/>
      <c r="M86" s="30"/>
      <c r="N86"/>
      <c r="O86"/>
      <c r="P86" s="5" t="s">
        <v>58</v>
      </c>
      <c r="Q86" s="20">
        <f>Q85*Q77</f>
        <v>1022.3646755092651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2:43" ht="15" thickBot="1">
      <c r="B87" s="30"/>
      <c r="C87"/>
      <c r="D87"/>
      <c r="E87" s="5" t="s">
        <v>49</v>
      </c>
      <c r="F87" s="20">
        <f>E71+F71*F85+H71*(F85^2)</f>
        <v>2259.3050505050505</v>
      </c>
      <c r="G87"/>
      <c r="H87"/>
      <c r="J87"/>
      <c r="K87"/>
      <c r="M87" s="30"/>
      <c r="N87"/>
      <c r="O87"/>
      <c r="P87" s="5" t="s">
        <v>49</v>
      </c>
      <c r="Q87" s="20">
        <f>P71+Q71*Q85+S71*(Q85^2)</f>
        <v>1022.3626997319714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2:43" ht="15" thickBot="1">
      <c r="B88" s="30"/>
      <c r="C88"/>
      <c r="D88"/>
      <c r="E88" s="5" t="s">
        <v>59</v>
      </c>
      <c r="F88" s="20">
        <f>F86-F87</f>
        <v>618.6747474747476</v>
      </c>
      <c r="G88"/>
      <c r="H88"/>
      <c r="J88"/>
      <c r="K88"/>
      <c r="M88" s="30"/>
      <c r="N88"/>
      <c r="O88"/>
      <c r="P88" s="5" t="s">
        <v>59</v>
      </c>
      <c r="Q88" s="20">
        <f>Q86-Q87</f>
        <v>0.00197577729375098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2:43" ht="15" thickBot="1">
      <c r="B89" s="30"/>
      <c r="C89"/>
      <c r="D89"/>
      <c r="E89" s="5" t="s">
        <v>17</v>
      </c>
      <c r="F89" s="19">
        <f>F88/F86</f>
        <v>0.21496841218587678</v>
      </c>
      <c r="G89"/>
      <c r="H89"/>
      <c r="J89"/>
      <c r="K89"/>
      <c r="M89" s="30"/>
      <c r="N89"/>
      <c r="O89"/>
      <c r="P89" s="5" t="s">
        <v>17</v>
      </c>
      <c r="Q89" s="19">
        <f>Q88/Q86</f>
        <v>1.932556299215636E-06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2:43" ht="15" thickBot="1">
      <c r="B90" s="30"/>
      <c r="C90"/>
      <c r="D90"/>
      <c r="E90" s="5" t="s">
        <v>60</v>
      </c>
      <c r="F90" s="19">
        <f>F86/F79</f>
        <v>0.05685210312075985</v>
      </c>
      <c r="G90"/>
      <c r="H90"/>
      <c r="J90"/>
      <c r="K90"/>
      <c r="M90" s="30"/>
      <c r="N90"/>
      <c r="O90"/>
      <c r="P90" s="5" t="s">
        <v>60</v>
      </c>
      <c r="Q90" s="19">
        <f>Q86/Q79</f>
        <v>0.03912342105263157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2:43" ht="13.5">
      <c r="B91" s="13">
        <v>3</v>
      </c>
      <c r="C91" s="2" t="s">
        <v>61</v>
      </c>
      <c r="D91"/>
      <c r="E91" s="5"/>
      <c r="F91" s="2"/>
      <c r="G91"/>
      <c r="H91"/>
      <c r="J91"/>
      <c r="K91"/>
      <c r="M91" s="13">
        <v>3</v>
      </c>
      <c r="N91" s="2" t="s">
        <v>61</v>
      </c>
      <c r="O91"/>
      <c r="P91" s="5"/>
      <c r="Q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2:43" ht="15" thickBot="1">
      <c r="B92" s="2"/>
      <c r="C92" s="13" t="s">
        <v>62</v>
      </c>
      <c r="D92"/>
      <c r="E92" s="5"/>
      <c r="F92" s="2"/>
      <c r="G92"/>
      <c r="H92"/>
      <c r="J92"/>
      <c r="K92"/>
      <c r="M92" s="2"/>
      <c r="N92" s="13" t="s">
        <v>62</v>
      </c>
      <c r="O92"/>
      <c r="P92" s="5"/>
      <c r="Q92" s="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2:43" ht="15" thickBot="1">
      <c r="B93" s="30"/>
      <c r="C93"/>
      <c r="D93"/>
      <c r="E93" s="5" t="s">
        <v>63</v>
      </c>
      <c r="F93" s="41">
        <f>F87-E71</f>
        <v>1459.3050505050505</v>
      </c>
      <c r="G93" s="43"/>
      <c r="H93"/>
      <c r="J93"/>
      <c r="K93"/>
      <c r="M93" s="30"/>
      <c r="N93"/>
      <c r="O93"/>
      <c r="P93" s="5" t="s">
        <v>63</v>
      </c>
      <c r="Q93" s="41">
        <f>Q87-P71</f>
        <v>522.3626997319714</v>
      </c>
      <c r="R93" s="4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2:43" ht="19.5" thickBot="1">
      <c r="B94" s="30"/>
      <c r="C94"/>
      <c r="D94"/>
      <c r="E94" s="5" t="s">
        <v>66</v>
      </c>
      <c r="F94" s="20">
        <f>AD17</f>
        <v>24</v>
      </c>
      <c r="G94"/>
      <c r="H94"/>
      <c r="J94"/>
      <c r="K94"/>
      <c r="M94" s="30"/>
      <c r="N94"/>
      <c r="O94"/>
      <c r="P94" s="5" t="s">
        <v>66</v>
      </c>
      <c r="Q94" s="20">
        <f>AE17</f>
        <v>20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2:43" ht="19.5" thickBot="1">
      <c r="B95" s="30"/>
      <c r="C95"/>
      <c r="D95"/>
      <c r="E95" s="5" t="s">
        <v>67</v>
      </c>
      <c r="F95" s="20">
        <f>AD18</f>
        <v>160</v>
      </c>
      <c r="G95"/>
      <c r="H95"/>
      <c r="J95"/>
      <c r="K95"/>
      <c r="M95" s="30"/>
      <c r="N95"/>
      <c r="O95"/>
      <c r="P95" s="5" t="s">
        <v>67</v>
      </c>
      <c r="Q95" s="20">
        <f>AE18</f>
        <v>220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ht="15" thickBot="1">
      <c r="B96" s="30"/>
      <c r="C96"/>
      <c r="D96"/>
      <c r="E96"/>
      <c r="F96" s="5" t="s">
        <v>64</v>
      </c>
      <c r="G96" s="1" t="s">
        <v>83</v>
      </c>
      <c r="H96"/>
      <c r="J96"/>
      <c r="K96"/>
      <c r="M96" s="30"/>
      <c r="N96"/>
      <c r="O96"/>
      <c r="P96"/>
      <c r="Q96" s="5" t="s">
        <v>64</v>
      </c>
      <c r="R96" s="1" t="s">
        <v>83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43" ht="19.5" thickBot="1">
      <c r="B97" s="30"/>
      <c r="C97"/>
      <c r="D97"/>
      <c r="E97" s="5" t="s">
        <v>68</v>
      </c>
      <c r="F97" s="20">
        <f>F93*G97</f>
        <v>364.82626262626263</v>
      </c>
      <c r="G97" s="51">
        <f>F73/(F73+G73)</f>
        <v>0.25</v>
      </c>
      <c r="H97" s="1" t="s">
        <v>84</v>
      </c>
      <c r="J97"/>
      <c r="K97"/>
      <c r="M97" s="30"/>
      <c r="N97"/>
      <c r="O97"/>
      <c r="P97" s="5" t="s">
        <v>68</v>
      </c>
      <c r="Q97" s="20">
        <f>Q93*R97</f>
        <v>104.47253994639428</v>
      </c>
      <c r="R97" s="51">
        <f>Q73/(Q73+R73)</f>
        <v>0.2</v>
      </c>
      <c r="S97" s="1" t="s">
        <v>84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2:43" ht="19.5" thickBot="1">
      <c r="B98" s="30"/>
      <c r="C98"/>
      <c r="D98"/>
      <c r="E98" s="5" t="s">
        <v>69</v>
      </c>
      <c r="F98" s="20">
        <f>F93*G98</f>
        <v>1094.478787878788</v>
      </c>
      <c r="G98" s="51">
        <f>1-G97</f>
        <v>0.75</v>
      </c>
      <c r="H98" s="1" t="s">
        <v>84</v>
      </c>
      <c r="J98"/>
      <c r="K98"/>
      <c r="M98" s="30"/>
      <c r="N98"/>
      <c r="O98"/>
      <c r="P98" s="5" t="s">
        <v>69</v>
      </c>
      <c r="Q98" s="20">
        <f>Q93*R98</f>
        <v>417.8901597855771</v>
      </c>
      <c r="R98" s="51">
        <f>1-R97</f>
        <v>0.8</v>
      </c>
      <c r="S98" s="1" t="s">
        <v>84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2:43" ht="15" thickBot="1">
      <c r="B99" s="30"/>
      <c r="C99"/>
      <c r="D99"/>
      <c r="E99" s="5" t="s">
        <v>85</v>
      </c>
      <c r="F99" s="20">
        <f>SUM(F97:F98)</f>
        <v>1459.3050505050505</v>
      </c>
      <c r="G99" s="51">
        <f>SUM(G97:G98)</f>
        <v>1</v>
      </c>
      <c r="H99" s="1" t="s">
        <v>86</v>
      </c>
      <c r="J99"/>
      <c r="K99"/>
      <c r="M99" s="30"/>
      <c r="N99"/>
      <c r="O99"/>
      <c r="P99" s="5" t="s">
        <v>85</v>
      </c>
      <c r="Q99" s="20">
        <f>SUM(Q97:Q98)</f>
        <v>522.3626997319714</v>
      </c>
      <c r="R99" s="51">
        <f>SUM(R97:R98)</f>
        <v>1</v>
      </c>
      <c r="S99" s="1" t="s">
        <v>86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2:53" ht="15" thickBot="1">
      <c r="B100" s="30"/>
      <c r="C100"/>
      <c r="D100"/>
      <c r="E100" s="5"/>
      <c r="F100" s="74"/>
      <c r="G100" s="11"/>
      <c r="H100" s="58"/>
      <c r="J100"/>
      <c r="K100"/>
      <c r="M100" s="30"/>
      <c r="N100"/>
      <c r="O100"/>
      <c r="P100" s="5"/>
      <c r="Q100" s="74"/>
      <c r="R100" s="11"/>
      <c r="S100" s="58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 s="1"/>
      <c r="AW100" s="5"/>
      <c r="AY100" s="6"/>
      <c r="BA100" s="1"/>
    </row>
    <row r="101" spans="2:53" ht="15" thickBot="1">
      <c r="B101" s="30"/>
      <c r="C101"/>
      <c r="D101"/>
      <c r="E101" s="5" t="s">
        <v>77</v>
      </c>
      <c r="F101" s="56">
        <f>F97/F94</f>
        <v>15.201094276094276</v>
      </c>
      <c r="G101" s="57">
        <f>F97</f>
        <v>364.82626262626263</v>
      </c>
      <c r="H101" s="122">
        <f>F94</f>
        <v>24</v>
      </c>
      <c r="J101"/>
      <c r="K101"/>
      <c r="M101" s="30"/>
      <c r="N101"/>
      <c r="O101"/>
      <c r="P101" s="5" t="s">
        <v>77</v>
      </c>
      <c r="Q101" s="56">
        <f>Q97/Q94</f>
        <v>5.223626997319714</v>
      </c>
      <c r="R101" s="57">
        <f>Q97</f>
        <v>104.47253994639428</v>
      </c>
      <c r="S101" s="122">
        <f>Q94</f>
        <v>20</v>
      </c>
      <c r="T101"/>
      <c r="U101"/>
      <c r="V101"/>
      <c r="W101"/>
      <c r="X101"/>
      <c r="Y101"/>
      <c r="Z101"/>
      <c r="AA101"/>
      <c r="AB101"/>
      <c r="AC101"/>
      <c r="AD101" s="82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 s="1"/>
      <c r="AW101" s="5"/>
      <c r="AY101" s="6"/>
      <c r="BA101" s="1"/>
    </row>
    <row r="102" spans="2:53" ht="15" thickBot="1">
      <c r="B102" s="30"/>
      <c r="C102"/>
      <c r="D102"/>
      <c r="E102" s="5" t="s">
        <v>78</v>
      </c>
      <c r="F102" s="56">
        <f>F98/F95</f>
        <v>6.8404924242424245</v>
      </c>
      <c r="G102" s="57">
        <f>F98</f>
        <v>1094.478787878788</v>
      </c>
      <c r="H102" s="122">
        <f>F95</f>
        <v>160</v>
      </c>
      <c r="J102"/>
      <c r="K102"/>
      <c r="M102" s="30"/>
      <c r="N102"/>
      <c r="O102"/>
      <c r="P102" s="5" t="s">
        <v>78</v>
      </c>
      <c r="Q102" s="56">
        <f>Q98/Q95</f>
        <v>1.8995007262980779</v>
      </c>
      <c r="R102" s="57">
        <f>Q98</f>
        <v>417.8901597855771</v>
      </c>
      <c r="S102" s="122">
        <f>Q95</f>
        <v>220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 s="1"/>
      <c r="AW102" s="5"/>
      <c r="AY102" s="6"/>
      <c r="BA102" s="1"/>
    </row>
    <row r="103" spans="2:53" ht="15" thickBot="1">
      <c r="B103" s="13">
        <v>4</v>
      </c>
      <c r="C103" s="2" t="s">
        <v>16</v>
      </c>
      <c r="D103"/>
      <c r="E103"/>
      <c r="F103"/>
      <c r="G103"/>
      <c r="H103"/>
      <c r="I103" s="91"/>
      <c r="M103" s="13">
        <v>4</v>
      </c>
      <c r="N103" s="2" t="s">
        <v>16</v>
      </c>
      <c r="O103"/>
      <c r="P103"/>
      <c r="Q103"/>
      <c r="R103"/>
      <c r="S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 s="1"/>
      <c r="AW103" s="5"/>
      <c r="AY103" s="6"/>
      <c r="BA103" s="1"/>
    </row>
    <row r="104" spans="2:53" ht="13.5">
      <c r="B104" s="13"/>
      <c r="C104" s="62"/>
      <c r="D104" s="63"/>
      <c r="E104" s="63"/>
      <c r="F104" s="103"/>
      <c r="G104" s="103"/>
      <c r="H104" s="104">
        <f>F73-1</f>
        <v>-0.75</v>
      </c>
      <c r="I104" s="105">
        <f>G73</f>
        <v>0.75</v>
      </c>
      <c r="J104"/>
      <c r="K104"/>
      <c r="M104" s="13"/>
      <c r="N104" s="62"/>
      <c r="O104" s="63"/>
      <c r="P104" s="63"/>
      <c r="Q104" s="103"/>
      <c r="R104" s="103"/>
      <c r="S104" s="104">
        <f>Q73-1</f>
        <v>-0.8</v>
      </c>
      <c r="T104" s="105">
        <f>R73</f>
        <v>0.8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 s="1"/>
      <c r="AW104" s="5"/>
      <c r="AY104" s="6"/>
      <c r="BA104" s="1"/>
    </row>
    <row r="105" spans="2:53" ht="15" thickBot="1">
      <c r="B105" s="30"/>
      <c r="C105" s="52"/>
      <c r="D105" s="64" t="s">
        <v>104</v>
      </c>
      <c r="E105" s="55">
        <f>(F73*E74)*(F101^(F73-1))*(F102^G73)</f>
        <v>0.41763341067285376</v>
      </c>
      <c r="F105" s="106">
        <f>F73</f>
        <v>0.25</v>
      </c>
      <c r="G105" s="107">
        <f>$E$74</f>
        <v>3.0405058331794717</v>
      </c>
      <c r="H105" s="108">
        <f>$F$101</f>
        <v>15.201094276094276</v>
      </c>
      <c r="I105" s="109">
        <f>$F$102</f>
        <v>6.8404924242424245</v>
      </c>
      <c r="J105" s="84"/>
      <c r="K105" s="84"/>
      <c r="M105" s="30"/>
      <c r="N105" s="52"/>
      <c r="O105" s="64" t="s">
        <v>104</v>
      </c>
      <c r="P105" s="55">
        <f>(Q73*P74)*(Q101^(Q73-1))*(Q102^R73)</f>
        <v>0.4280689254066397</v>
      </c>
      <c r="Q105" s="106">
        <f>Q73</f>
        <v>0.2</v>
      </c>
      <c r="R105" s="107">
        <f>$E$74</f>
        <v>3.0405058331794717</v>
      </c>
      <c r="S105" s="108">
        <f>$F$101</f>
        <v>15.201094276094276</v>
      </c>
      <c r="T105" s="109">
        <f>$F$102</f>
        <v>6.8404924242424245</v>
      </c>
      <c r="U105" s="84"/>
      <c r="V105" s="84"/>
      <c r="W105"/>
      <c r="X105"/>
      <c r="Y105"/>
      <c r="Z105"/>
      <c r="AA105"/>
      <c r="AB105"/>
      <c r="AC105"/>
      <c r="AD105" s="82"/>
      <c r="AF105"/>
      <c r="AG105"/>
      <c r="AH105"/>
      <c r="AI105"/>
      <c r="AJ105"/>
      <c r="AK105"/>
      <c r="AL105"/>
      <c r="AM105"/>
      <c r="AN105"/>
      <c r="AO105"/>
      <c r="AP105"/>
      <c r="AQ105"/>
      <c r="AT105" s="1"/>
      <c r="AW105" s="5"/>
      <c r="AY105" s="6"/>
      <c r="BA105" s="1"/>
    </row>
    <row r="106" spans="2:53" ht="13.5">
      <c r="B106" s="30"/>
      <c r="C106" s="65"/>
      <c r="D106" s="66"/>
      <c r="E106" s="59"/>
      <c r="F106" s="110"/>
      <c r="G106" s="111"/>
      <c r="H106" s="112">
        <f>F73</f>
        <v>0.25</v>
      </c>
      <c r="I106" s="105">
        <f>G73-1</f>
        <v>-0.25</v>
      </c>
      <c r="J106"/>
      <c r="K106"/>
      <c r="M106" s="30"/>
      <c r="N106" s="65"/>
      <c r="O106" s="66"/>
      <c r="P106" s="59"/>
      <c r="Q106" s="110"/>
      <c r="R106" s="111"/>
      <c r="S106" s="112">
        <f>Q73</f>
        <v>0.2</v>
      </c>
      <c r="T106" s="105">
        <f>R73-1</f>
        <v>-0.19999999999999996</v>
      </c>
      <c r="U106"/>
      <c r="V106"/>
      <c r="W106"/>
      <c r="X106"/>
      <c r="Y106"/>
      <c r="Z106"/>
      <c r="AA106"/>
      <c r="AB106"/>
      <c r="AC106"/>
      <c r="AD106" s="82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 s="1"/>
      <c r="AW106" s="5"/>
      <c r="AY106" s="6"/>
      <c r="BA106" s="1"/>
    </row>
    <row r="107" spans="2:53" ht="15" thickBot="1">
      <c r="B107" s="30"/>
      <c r="C107" s="52"/>
      <c r="D107" s="64" t="s">
        <v>105</v>
      </c>
      <c r="E107" s="55">
        <f>(G73*E74)*(F101^F73)*(F102^(G73-1))</f>
        <v>2.784222737819026</v>
      </c>
      <c r="F107" s="106">
        <f>G73</f>
        <v>0.75</v>
      </c>
      <c r="G107" s="107">
        <f>$E$74</f>
        <v>3.0405058331794717</v>
      </c>
      <c r="H107" s="108">
        <f>$F$101</f>
        <v>15.201094276094276</v>
      </c>
      <c r="I107" s="109">
        <f>$F$102</f>
        <v>6.8404924242424245</v>
      </c>
      <c r="J107"/>
      <c r="K107"/>
      <c r="M107" s="30"/>
      <c r="N107" s="52"/>
      <c r="O107" s="64" t="s">
        <v>105</v>
      </c>
      <c r="P107" s="55">
        <f>(R73*P74)*(Q101^Q73)*(Q102^(R73-1))</f>
        <v>4.708758179473038</v>
      </c>
      <c r="Q107" s="106">
        <f>R73</f>
        <v>0.8</v>
      </c>
      <c r="R107" s="107">
        <f>$E$74</f>
        <v>3.0405058331794717</v>
      </c>
      <c r="S107" s="108">
        <f>$F$101</f>
        <v>15.201094276094276</v>
      </c>
      <c r="T107" s="109">
        <f>$F$102</f>
        <v>6.8404924242424245</v>
      </c>
      <c r="U107"/>
      <c r="V107"/>
      <c r="W107"/>
      <c r="X107"/>
      <c r="Y107"/>
      <c r="Z107"/>
      <c r="AA107"/>
      <c r="AB107"/>
      <c r="AC107"/>
      <c r="AD107" s="82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 s="1"/>
      <c r="AW107" s="5"/>
      <c r="AY107" s="6"/>
      <c r="BA107" s="1"/>
    </row>
    <row r="108" spans="2:43" ht="15" thickBot="1">
      <c r="B108" s="30"/>
      <c r="C108" s="10"/>
      <c r="D108" s="31"/>
      <c r="E108" s="60"/>
      <c r="F108" s="61"/>
      <c r="G108" s="67"/>
      <c r="H108" s="68"/>
      <c r="I108" s="69"/>
      <c r="J108"/>
      <c r="K108"/>
      <c r="M108" s="30"/>
      <c r="N108" s="10"/>
      <c r="O108" s="31"/>
      <c r="P108" s="60"/>
      <c r="Q108" s="116"/>
      <c r="R108" s="117"/>
      <c r="S108" s="118"/>
      <c r="T108" s="119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2:43" ht="15" thickBot="1">
      <c r="B109" s="30"/>
      <c r="C109" s="3"/>
      <c r="D109" s="70" t="s">
        <v>106</v>
      </c>
      <c r="E109" s="71">
        <f>E105/F94</f>
        <v>0.017401392111368905</v>
      </c>
      <c r="F109" s="114">
        <f>E105</f>
        <v>0.41763341067285376</v>
      </c>
      <c r="G109" s="115">
        <f>F94</f>
        <v>24</v>
      </c>
      <c r="H109" s="46"/>
      <c r="I109" s="33"/>
      <c r="J109"/>
      <c r="K109"/>
      <c r="M109" s="30"/>
      <c r="N109" s="3"/>
      <c r="O109" s="70" t="s">
        <v>106</v>
      </c>
      <c r="P109" s="71">
        <f>P105/Q94</f>
        <v>0.021403446270331986</v>
      </c>
      <c r="Q109" s="114">
        <f>P105</f>
        <v>0.4280689254066397</v>
      </c>
      <c r="R109" s="115">
        <f>Q94</f>
        <v>20</v>
      </c>
      <c r="S109" s="120"/>
      <c r="T109" s="12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2:43" ht="15" thickBot="1">
      <c r="B110" s="30"/>
      <c r="H110"/>
      <c r="J110"/>
      <c r="K110"/>
      <c r="M110" s="3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2:43" ht="15" thickBot="1">
      <c r="B111" s="30"/>
      <c r="C111" s="3"/>
      <c r="D111" s="70" t="s">
        <v>107</v>
      </c>
      <c r="E111" s="71">
        <f>E107/F95</f>
        <v>0.017401392111368912</v>
      </c>
      <c r="F111" s="114">
        <f>E107</f>
        <v>2.784222737819026</v>
      </c>
      <c r="G111" s="115">
        <f>F95</f>
        <v>160</v>
      </c>
      <c r="H111" s="46"/>
      <c r="I111" s="33"/>
      <c r="J111"/>
      <c r="K111"/>
      <c r="M111" s="30"/>
      <c r="N111" s="3"/>
      <c r="O111" s="70" t="s">
        <v>107</v>
      </c>
      <c r="P111" s="71">
        <f>P107/Q95</f>
        <v>0.02140344627033199</v>
      </c>
      <c r="Q111" s="114">
        <f>P107</f>
        <v>4.708758179473038</v>
      </c>
      <c r="R111" s="115">
        <f>Q95</f>
        <v>220</v>
      </c>
      <c r="S111" s="46"/>
      <c r="T111" s="33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2:43" ht="13.5">
      <c r="B112" s="2" t="s">
        <v>88</v>
      </c>
      <c r="C112"/>
      <c r="D112"/>
      <c r="E112"/>
      <c r="F112"/>
      <c r="G112"/>
      <c r="H112"/>
      <c r="J112"/>
      <c r="K112"/>
      <c r="M112" s="2" t="s">
        <v>88</v>
      </c>
      <c r="N112"/>
      <c r="O112"/>
      <c r="P112"/>
      <c r="Q112"/>
      <c r="R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2:43" ht="13.5">
      <c r="B113"/>
      <c r="C113" s="1" t="s">
        <v>87</v>
      </c>
      <c r="D113"/>
      <c r="E113"/>
      <c r="F113"/>
      <c r="G113"/>
      <c r="H113"/>
      <c r="J113"/>
      <c r="K113"/>
      <c r="M113"/>
      <c r="N113" s="1" t="s">
        <v>87</v>
      </c>
      <c r="O113"/>
      <c r="P113"/>
      <c r="Q113"/>
      <c r="R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ht="13.5">
      <c r="B114"/>
      <c r="C114" s="1" t="s">
        <v>32</v>
      </c>
      <c r="D114"/>
      <c r="E114"/>
      <c r="F114"/>
      <c r="G114"/>
      <c r="H114"/>
      <c r="J114"/>
      <c r="K114"/>
      <c r="M114"/>
      <c r="N114" s="1" t="s">
        <v>32</v>
      </c>
      <c r="O114"/>
      <c r="P114"/>
      <c r="Q114"/>
      <c r="R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2:43" ht="13.5">
      <c r="B115"/>
      <c r="C115" s="1" t="s">
        <v>33</v>
      </c>
      <c r="D115"/>
      <c r="E115"/>
      <c r="F115"/>
      <c r="G115"/>
      <c r="H115"/>
      <c r="J115"/>
      <c r="K115"/>
      <c r="M115"/>
      <c r="N115" s="1" t="s">
        <v>33</v>
      </c>
      <c r="O115"/>
      <c r="P115"/>
      <c r="Q115"/>
      <c r="R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2:43" ht="13.5">
      <c r="B116"/>
      <c r="D116"/>
      <c r="E116"/>
      <c r="F116"/>
      <c r="G116"/>
      <c r="H116"/>
      <c r="J116"/>
      <c r="K116"/>
      <c r="M116"/>
      <c r="O116"/>
      <c r="P116"/>
      <c r="Q116"/>
      <c r="R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2:43" ht="13.5">
      <c r="B117"/>
      <c r="D117"/>
      <c r="E117"/>
      <c r="F117"/>
      <c r="G117"/>
      <c r="H117"/>
      <c r="J117"/>
      <c r="K117"/>
      <c r="M117"/>
      <c r="O117"/>
      <c r="P117"/>
      <c r="Q117"/>
      <c r="R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2:43" ht="13.5">
      <c r="B118"/>
      <c r="D118"/>
      <c r="E118"/>
      <c r="F118"/>
      <c r="G118"/>
      <c r="H118"/>
      <c r="J118"/>
      <c r="K118"/>
      <c r="M118"/>
      <c r="O118"/>
      <c r="P118"/>
      <c r="Q118"/>
      <c r="R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2:43" ht="13.5">
      <c r="B119"/>
      <c r="D119"/>
      <c r="E119"/>
      <c r="F119"/>
      <c r="G119"/>
      <c r="H119"/>
      <c r="J119"/>
      <c r="K119"/>
      <c r="M119"/>
      <c r="O119"/>
      <c r="P119"/>
      <c r="Q119"/>
      <c r="R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2:43" ht="13.5">
      <c r="B120"/>
      <c r="D120"/>
      <c r="E120"/>
      <c r="F120"/>
      <c r="G120"/>
      <c r="H120"/>
      <c r="J120"/>
      <c r="K120"/>
      <c r="M120"/>
      <c r="O120"/>
      <c r="P120"/>
      <c r="Q120"/>
      <c r="R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2:43" ht="13.5">
      <c r="B121"/>
      <c r="D121"/>
      <c r="E121"/>
      <c r="F121"/>
      <c r="G121"/>
      <c r="H121"/>
      <c r="J121"/>
      <c r="K121"/>
      <c r="M121"/>
      <c r="O121"/>
      <c r="P121"/>
      <c r="Q121"/>
      <c r="R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2:43" ht="13.5">
      <c r="B122"/>
      <c r="D122"/>
      <c r="E122"/>
      <c r="F122"/>
      <c r="G122"/>
      <c r="H122"/>
      <c r="J122"/>
      <c r="K122"/>
      <c r="M122"/>
      <c r="O122"/>
      <c r="P122"/>
      <c r="Q122"/>
      <c r="R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2:43" ht="13.5">
      <c r="B123"/>
      <c r="D123"/>
      <c r="E123"/>
      <c r="F123"/>
      <c r="G123"/>
      <c r="H123"/>
      <c r="J123"/>
      <c r="K123"/>
      <c r="M123"/>
      <c r="O123"/>
      <c r="P123"/>
      <c r="Q123"/>
      <c r="R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2:43" ht="13.5">
      <c r="B124"/>
      <c r="D124"/>
      <c r="E124"/>
      <c r="F124"/>
      <c r="G124"/>
      <c r="H124"/>
      <c r="J124"/>
      <c r="K124"/>
      <c r="M124"/>
      <c r="O124"/>
      <c r="P124"/>
      <c r="Q124"/>
      <c r="R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2:43" ht="13.5">
      <c r="B125"/>
      <c r="D125"/>
      <c r="E125"/>
      <c r="F125"/>
      <c r="G125"/>
      <c r="H125"/>
      <c r="J125"/>
      <c r="K125"/>
      <c r="M125"/>
      <c r="O125"/>
      <c r="P125"/>
      <c r="Q125"/>
      <c r="R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:43" ht="13.5">
      <c r="B126"/>
      <c r="D126"/>
      <c r="E126"/>
      <c r="F126"/>
      <c r="G126"/>
      <c r="H126"/>
      <c r="J126"/>
      <c r="K126"/>
      <c r="M126"/>
      <c r="O126"/>
      <c r="P126"/>
      <c r="Q126"/>
      <c r="R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:43" ht="13.5">
      <c r="B127"/>
      <c r="D127"/>
      <c r="E127"/>
      <c r="F127"/>
      <c r="G127"/>
      <c r="H127"/>
      <c r="J127"/>
      <c r="K127"/>
      <c r="M127"/>
      <c r="O127"/>
      <c r="P127"/>
      <c r="Q127"/>
      <c r="R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:43" ht="13.5">
      <c r="B128"/>
      <c r="D128"/>
      <c r="E128"/>
      <c r="F128"/>
      <c r="G128"/>
      <c r="H128"/>
      <c r="J128"/>
      <c r="K128"/>
      <c r="M128"/>
      <c r="O128"/>
      <c r="P128"/>
      <c r="Q128"/>
      <c r="R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ht="13.5">
      <c r="B129"/>
      <c r="D129"/>
      <c r="E129"/>
      <c r="F129"/>
      <c r="G129"/>
      <c r="H129"/>
      <c r="J129"/>
      <c r="K129"/>
      <c r="M129"/>
      <c r="O129"/>
      <c r="P129"/>
      <c r="Q129"/>
      <c r="R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2:43" ht="13.5">
      <c r="B130"/>
      <c r="D130"/>
      <c r="E130"/>
      <c r="F130"/>
      <c r="G130"/>
      <c r="H130"/>
      <c r="J130"/>
      <c r="K130"/>
      <c r="M130"/>
      <c r="O130"/>
      <c r="P130"/>
      <c r="Q130"/>
      <c r="R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2:43" ht="13.5">
      <c r="B131"/>
      <c r="D131"/>
      <c r="E131"/>
      <c r="F131"/>
      <c r="G131"/>
      <c r="H131"/>
      <c r="J131"/>
      <c r="K131"/>
      <c r="M131"/>
      <c r="O131"/>
      <c r="P131"/>
      <c r="Q131"/>
      <c r="R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2:43" ht="13.5">
      <c r="B132"/>
      <c r="D132"/>
      <c r="E132"/>
      <c r="F132"/>
      <c r="G132"/>
      <c r="H132"/>
      <c r="J132"/>
      <c r="K132"/>
      <c r="M132"/>
      <c r="O132"/>
      <c r="P132"/>
      <c r="Q132"/>
      <c r="R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2:43" ht="13.5">
      <c r="B133"/>
      <c r="D133"/>
      <c r="E133"/>
      <c r="F133"/>
      <c r="G133"/>
      <c r="H133"/>
      <c r="J133"/>
      <c r="K133"/>
      <c r="M133"/>
      <c r="O133"/>
      <c r="P133"/>
      <c r="Q133"/>
      <c r="R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2:43" ht="13.5">
      <c r="B134"/>
      <c r="D134"/>
      <c r="E134"/>
      <c r="F134"/>
      <c r="G134"/>
      <c r="H134"/>
      <c r="J134"/>
      <c r="K134"/>
      <c r="M134"/>
      <c r="O134"/>
      <c r="P134"/>
      <c r="Q134"/>
      <c r="R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2:43" ht="13.5">
      <c r="B135"/>
      <c r="D135"/>
      <c r="E135"/>
      <c r="F135"/>
      <c r="G135"/>
      <c r="H135"/>
      <c r="J135"/>
      <c r="K135"/>
      <c r="M135"/>
      <c r="O135"/>
      <c r="P135"/>
      <c r="Q135"/>
      <c r="R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2:43" ht="13.5">
      <c r="B136"/>
      <c r="D136"/>
      <c r="E136"/>
      <c r="F136"/>
      <c r="G136"/>
      <c r="H136"/>
      <c r="J136"/>
      <c r="K136"/>
      <c r="M136"/>
      <c r="O136"/>
      <c r="P136"/>
      <c r="Q136"/>
      <c r="R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2:43" ht="13.5">
      <c r="B137"/>
      <c r="D137"/>
      <c r="E137"/>
      <c r="F137"/>
      <c r="G137"/>
      <c r="H137"/>
      <c r="J137"/>
      <c r="K137"/>
      <c r="M137"/>
      <c r="O137"/>
      <c r="P137"/>
      <c r="Q137"/>
      <c r="R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2:43" ht="13.5">
      <c r="B138"/>
      <c r="D138"/>
      <c r="E138"/>
      <c r="F138"/>
      <c r="G138"/>
      <c r="H138"/>
      <c r="J138"/>
      <c r="K138"/>
      <c r="M138"/>
      <c r="O138"/>
      <c r="P138"/>
      <c r="Q138"/>
      <c r="R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2:43" ht="13.5">
      <c r="B139"/>
      <c r="D139"/>
      <c r="E139"/>
      <c r="F139"/>
      <c r="G139"/>
      <c r="H139"/>
      <c r="J139"/>
      <c r="K139"/>
      <c r="M139"/>
      <c r="O139"/>
      <c r="P139"/>
      <c r="Q139"/>
      <c r="R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2:43" ht="13.5">
      <c r="B140"/>
      <c r="D140"/>
      <c r="E140"/>
      <c r="F140"/>
      <c r="G140"/>
      <c r="H140"/>
      <c r="J140"/>
      <c r="K140"/>
      <c r="M140"/>
      <c r="O140"/>
      <c r="P140"/>
      <c r="Q140"/>
      <c r="R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2:43" ht="13.5">
      <c r="B141"/>
      <c r="D141"/>
      <c r="E141"/>
      <c r="F141"/>
      <c r="G141"/>
      <c r="H141"/>
      <c r="J141"/>
      <c r="K141"/>
      <c r="M141"/>
      <c r="O141"/>
      <c r="P141"/>
      <c r="Q141"/>
      <c r="R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2:43" ht="13.5">
      <c r="B142"/>
      <c r="D142"/>
      <c r="E142"/>
      <c r="F142"/>
      <c r="G142"/>
      <c r="H142"/>
      <c r="J142"/>
      <c r="K142"/>
      <c r="M142"/>
      <c r="O142"/>
      <c r="P142"/>
      <c r="Q142"/>
      <c r="R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2:43" ht="13.5">
      <c r="B143"/>
      <c r="D143"/>
      <c r="E143"/>
      <c r="F143"/>
      <c r="G143"/>
      <c r="H143"/>
      <c r="J143"/>
      <c r="K143"/>
      <c r="M143"/>
      <c r="O143"/>
      <c r="P143"/>
      <c r="Q143"/>
      <c r="R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2:43" ht="13.5">
      <c r="B144"/>
      <c r="D144"/>
      <c r="E144"/>
      <c r="F144"/>
      <c r="G144"/>
      <c r="H144"/>
      <c r="J144"/>
      <c r="K144"/>
      <c r="M144"/>
      <c r="O144"/>
      <c r="P144"/>
      <c r="Q144"/>
      <c r="R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2:43" ht="13.5">
      <c r="B145"/>
      <c r="D145"/>
      <c r="E145"/>
      <c r="F145"/>
      <c r="G145"/>
      <c r="H145"/>
      <c r="J145"/>
      <c r="K145"/>
      <c r="M145"/>
      <c r="O145"/>
      <c r="P145"/>
      <c r="Q145"/>
      <c r="R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2:43" ht="13.5">
      <c r="B146"/>
      <c r="D146"/>
      <c r="E146"/>
      <c r="F146"/>
      <c r="G146"/>
      <c r="H146"/>
      <c r="J146"/>
      <c r="K146"/>
      <c r="M146"/>
      <c r="O146"/>
      <c r="P146"/>
      <c r="Q146"/>
      <c r="R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2:43" ht="13.5">
      <c r="B147"/>
      <c r="D147"/>
      <c r="E147"/>
      <c r="F147"/>
      <c r="G147"/>
      <c r="H147"/>
      <c r="J147"/>
      <c r="K147"/>
      <c r="M147"/>
      <c r="O147"/>
      <c r="P147"/>
      <c r="Q147"/>
      <c r="R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2:43" ht="13.5">
      <c r="B148"/>
      <c r="D148"/>
      <c r="E148"/>
      <c r="F148"/>
      <c r="G148"/>
      <c r="H148"/>
      <c r="J148"/>
      <c r="K148"/>
      <c r="M148"/>
      <c r="O148"/>
      <c r="P148"/>
      <c r="Q148"/>
      <c r="R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2:43" ht="13.5">
      <c r="B149"/>
      <c r="D149"/>
      <c r="E149"/>
      <c r="F149"/>
      <c r="G149"/>
      <c r="H149"/>
      <c r="J149"/>
      <c r="K149"/>
      <c r="M149"/>
      <c r="O149"/>
      <c r="P149"/>
      <c r="Q149"/>
      <c r="R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2:43" ht="13.5">
      <c r="B150"/>
      <c r="D150"/>
      <c r="E150"/>
      <c r="F150"/>
      <c r="G150"/>
      <c r="H150"/>
      <c r="J150"/>
      <c r="K150"/>
      <c r="M150"/>
      <c r="O150"/>
      <c r="P150"/>
      <c r="Q150"/>
      <c r="R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2:43" ht="13.5">
      <c r="B151"/>
      <c r="D151"/>
      <c r="E151"/>
      <c r="F151"/>
      <c r="G151"/>
      <c r="H151"/>
      <c r="J151"/>
      <c r="K151"/>
      <c r="M151"/>
      <c r="O151"/>
      <c r="P151"/>
      <c r="Q151"/>
      <c r="R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2:43" ht="13.5">
      <c r="B152"/>
      <c r="D152"/>
      <c r="E152"/>
      <c r="F152"/>
      <c r="G152"/>
      <c r="H152"/>
      <c r="J152"/>
      <c r="K152"/>
      <c r="M152"/>
      <c r="O152"/>
      <c r="P152"/>
      <c r="Q152"/>
      <c r="R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2:43" ht="13.5">
      <c r="B153"/>
      <c r="D153"/>
      <c r="E153"/>
      <c r="F153"/>
      <c r="G153"/>
      <c r="H153"/>
      <c r="J153"/>
      <c r="K153"/>
      <c r="M153"/>
      <c r="O153"/>
      <c r="P153"/>
      <c r="Q153"/>
      <c r="R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43" ht="13.5">
      <c r="B154"/>
      <c r="C154"/>
      <c r="D154"/>
      <c r="E154"/>
      <c r="F154"/>
      <c r="G154"/>
      <c r="H154"/>
      <c r="J154"/>
      <c r="K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2:43" ht="13.5">
      <c r="B155"/>
      <c r="C155"/>
      <c r="D155"/>
      <c r="E155"/>
      <c r="F155"/>
      <c r="G155"/>
      <c r="H155"/>
      <c r="J155"/>
      <c r="K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43" ht="13.5">
      <c r="B156"/>
      <c r="C156"/>
      <c r="D156"/>
      <c r="E156"/>
      <c r="F156"/>
      <c r="G156"/>
      <c r="H156"/>
      <c r="J156"/>
      <c r="K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43" ht="13.5">
      <c r="B157"/>
      <c r="C157"/>
      <c r="D157"/>
      <c r="E157"/>
      <c r="F157"/>
      <c r="G157"/>
      <c r="H157"/>
      <c r="J157"/>
      <c r="K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ht="13.5">
      <c r="B158"/>
      <c r="C158"/>
      <c r="D158"/>
      <c r="E158"/>
      <c r="F158"/>
      <c r="G158"/>
      <c r="H158"/>
      <c r="J158"/>
      <c r="K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43" ht="13.5">
      <c r="B159"/>
      <c r="C159"/>
      <c r="D159"/>
      <c r="E159"/>
      <c r="F159"/>
      <c r="G159"/>
      <c r="H159"/>
      <c r="J159"/>
      <c r="K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43" ht="13.5">
      <c r="B160"/>
      <c r="C160"/>
      <c r="D160"/>
      <c r="E160"/>
      <c r="F160"/>
      <c r="G160"/>
      <c r="H160"/>
      <c r="J160"/>
      <c r="K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ht="13.5">
      <c r="B161"/>
      <c r="C161"/>
      <c r="D161"/>
      <c r="E161"/>
      <c r="F161"/>
      <c r="G161"/>
      <c r="H161"/>
      <c r="J161"/>
      <c r="K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ht="13.5">
      <c r="B162"/>
      <c r="C162"/>
      <c r="D162"/>
      <c r="E162"/>
      <c r="F162"/>
      <c r="G162"/>
      <c r="H162"/>
      <c r="J162"/>
      <c r="K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ht="13.5">
      <c r="B163"/>
      <c r="C163"/>
      <c r="D163"/>
      <c r="E163"/>
      <c r="F163"/>
      <c r="G163"/>
      <c r="H163"/>
      <c r="J163"/>
      <c r="K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ht="13.5">
      <c r="B164"/>
      <c r="C164"/>
      <c r="D164"/>
      <c r="E164"/>
      <c r="F164"/>
      <c r="G164"/>
      <c r="H164"/>
      <c r="J164"/>
      <c r="K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ht="13.5">
      <c r="B165"/>
      <c r="C165"/>
      <c r="D165"/>
      <c r="E165"/>
      <c r="F165"/>
      <c r="G165"/>
      <c r="H165"/>
      <c r="J165"/>
      <c r="K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ht="13.5">
      <c r="B166"/>
      <c r="C166"/>
      <c r="D166"/>
      <c r="E166"/>
      <c r="F166"/>
      <c r="G166"/>
      <c r="H166"/>
      <c r="J166"/>
      <c r="K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ht="13.5">
      <c r="B167"/>
      <c r="C167"/>
      <c r="D167"/>
      <c r="E167"/>
      <c r="F167"/>
      <c r="G167"/>
      <c r="H167"/>
      <c r="J167"/>
      <c r="K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ht="13.5">
      <c r="B168"/>
      <c r="C168"/>
      <c r="D168"/>
      <c r="E168"/>
      <c r="F168"/>
      <c r="G168"/>
      <c r="H168"/>
      <c r="J168"/>
      <c r="K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ht="13.5">
      <c r="B169"/>
      <c r="C169"/>
      <c r="D169"/>
      <c r="E169"/>
      <c r="F169"/>
      <c r="G169"/>
      <c r="H169"/>
      <c r="J169"/>
      <c r="K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23" ht="0.75" customHeight="1">
      <c r="B170"/>
      <c r="C170"/>
      <c r="D170"/>
      <c r="E170"/>
      <c r="F170"/>
      <c r="G170"/>
      <c r="H170"/>
      <c r="J170"/>
      <c r="K170"/>
      <c r="M170"/>
      <c r="N170"/>
      <c r="O170"/>
      <c r="P170"/>
      <c r="Q170"/>
      <c r="R170"/>
      <c r="S170"/>
      <c r="T170"/>
      <c r="U170"/>
      <c r="V170"/>
      <c r="W170"/>
    </row>
    <row r="171" spans="2:23" ht="0.75" customHeight="1">
      <c r="B171"/>
      <c r="C171"/>
      <c r="D171"/>
      <c r="E171"/>
      <c r="F171"/>
      <c r="G171"/>
      <c r="H171"/>
      <c r="J171"/>
      <c r="K171"/>
      <c r="M171"/>
      <c r="N171"/>
      <c r="O171"/>
      <c r="P171"/>
      <c r="Q171"/>
      <c r="R171"/>
      <c r="S171"/>
      <c r="T171"/>
      <c r="U171"/>
      <c r="V171"/>
      <c r="W171"/>
    </row>
    <row r="172" spans="2:23" ht="0.75" customHeight="1">
      <c r="B172"/>
      <c r="C172"/>
      <c r="D172"/>
      <c r="E172"/>
      <c r="F172"/>
      <c r="G172"/>
      <c r="H172"/>
      <c r="J172"/>
      <c r="K172"/>
      <c r="M172"/>
      <c r="N172"/>
      <c r="O172"/>
      <c r="P172"/>
      <c r="Q172"/>
      <c r="R172"/>
      <c r="S172"/>
      <c r="T172"/>
      <c r="U172"/>
      <c r="V172"/>
      <c r="W172"/>
    </row>
    <row r="173" spans="2:23" ht="0.75" customHeight="1">
      <c r="B173"/>
      <c r="C173"/>
      <c r="D173"/>
      <c r="E173"/>
      <c r="F173"/>
      <c r="G173"/>
      <c r="H173"/>
      <c r="J173"/>
      <c r="K173"/>
      <c r="M173"/>
      <c r="N173"/>
      <c r="O173"/>
      <c r="P173"/>
      <c r="Q173"/>
      <c r="R173"/>
      <c r="S173"/>
      <c r="T173"/>
      <c r="U173"/>
      <c r="V173"/>
      <c r="W173"/>
    </row>
    <row r="174" spans="2:20" ht="0.75" customHeight="1">
      <c r="B174" s="72">
        <f>SQRT(F78)</f>
        <v>21.134489978863144</v>
      </c>
      <c r="C174" s="1" t="s">
        <v>10</v>
      </c>
      <c r="F174" s="98">
        <f>$F$85^0.25</f>
        <v>2.2448251517507307</v>
      </c>
      <c r="G174" s="1" t="s">
        <v>12</v>
      </c>
      <c r="M174" s="72">
        <f>SQRT(Q78)</f>
        <v>16.90477989430333</v>
      </c>
      <c r="N174" s="1" t="s">
        <v>10</v>
      </c>
      <c r="Q174" s="98">
        <f>$Q$85^0.25</f>
        <v>1.8285800031942792</v>
      </c>
      <c r="R174" s="1" t="s">
        <v>12</v>
      </c>
      <c r="T174"/>
    </row>
    <row r="175" spans="2:21" ht="0.75" customHeight="1">
      <c r="B175" s="72"/>
      <c r="C175" s="88" t="s">
        <v>101</v>
      </c>
      <c r="D175" s="88" t="s">
        <v>11</v>
      </c>
      <c r="E175" s="88" t="s">
        <v>45</v>
      </c>
      <c r="G175" s="100" t="s">
        <v>102</v>
      </c>
      <c r="H175" s="100" t="s">
        <v>103</v>
      </c>
      <c r="I175" s="100" t="s">
        <v>13</v>
      </c>
      <c r="J175" s="1" t="s">
        <v>14</v>
      </c>
      <c r="M175" s="72"/>
      <c r="N175" s="88" t="s">
        <v>101</v>
      </c>
      <c r="O175" s="88" t="s">
        <v>11</v>
      </c>
      <c r="P175" s="88" t="s">
        <v>45</v>
      </c>
      <c r="R175" s="100" t="s">
        <v>102</v>
      </c>
      <c r="S175" s="100" t="s">
        <v>103</v>
      </c>
      <c r="T175" s="100" t="s">
        <v>13</v>
      </c>
      <c r="U175" s="1" t="s">
        <v>14</v>
      </c>
    </row>
    <row r="176" spans="2:20" ht="0.75" customHeight="1">
      <c r="B176" s="96">
        <v>0</v>
      </c>
      <c r="C176" s="1">
        <f>$E$12+$F$12*B176</f>
        <v>225</v>
      </c>
      <c r="D176" s="96">
        <f>$E$14+$F$14*B176</f>
        <v>24</v>
      </c>
      <c r="E176" s="97">
        <f>$F$77</f>
        <v>113.33333333333334</v>
      </c>
      <c r="F176" s="99">
        <v>0</v>
      </c>
      <c r="G176" s="96"/>
      <c r="H176" s="96">
        <f>$F$71+2*$H$71*(F176)</f>
        <v>1.6</v>
      </c>
      <c r="I176" s="101">
        <f>$F$77</f>
        <v>113.33333333333334</v>
      </c>
      <c r="M176" s="96">
        <v>0</v>
      </c>
      <c r="N176" s="96">
        <f>$P$12+$Q$12*M176</f>
        <v>248</v>
      </c>
      <c r="O176" s="96">
        <f>$P$14+$Q$14*M176</f>
        <v>20</v>
      </c>
      <c r="P176" s="97">
        <f>$Q$77</f>
        <v>91.4428958187105</v>
      </c>
      <c r="Q176" s="99">
        <v>0</v>
      </c>
      <c r="R176" s="96"/>
      <c r="S176" s="96">
        <f>$Q$71+2*$S$71*(Q176)</f>
        <v>2</v>
      </c>
      <c r="T176" s="101">
        <f>$Q$77</f>
        <v>91.4428958187105</v>
      </c>
    </row>
    <row r="177" spans="2:21" ht="0.75" customHeight="1">
      <c r="B177" s="96">
        <f>B176+$B$174</f>
        <v>21.134489978863144</v>
      </c>
      <c r="C177" s="1">
        <f>IF(($E$12+$F$12*B177)&lt;0,0,$E$12+$F$12*B177)</f>
        <v>219.7163775052842</v>
      </c>
      <c r="D177" s="96">
        <f aca="true" t="shared" si="0" ref="D177:D200">$E$14+$F$14*B177</f>
        <v>28.226897995772628</v>
      </c>
      <c r="E177" s="97">
        <f aca="true" t="shared" si="1" ref="E177:E200">$F$77</f>
        <v>113.33333333333334</v>
      </c>
      <c r="F177" s="99">
        <f>F176+$F$174</f>
        <v>2.2448251517507307</v>
      </c>
      <c r="G177" s="96">
        <f aca="true" t="shared" si="2" ref="G177:G200">($E$71+$F$71*F177+$H$71*(F177^2))/F177</f>
        <v>362.91380980103895</v>
      </c>
      <c r="H177" s="96">
        <f aca="true" t="shared" si="3" ref="H177:H200">$F$71+2*$H$71*(F177)</f>
        <v>11.477230667703216</v>
      </c>
      <c r="I177" s="101">
        <f aca="true" t="shared" si="4" ref="I177:I200">$F$77</f>
        <v>113.33333333333334</v>
      </c>
      <c r="J177" s="102">
        <f>I177-G177</f>
        <v>-249.5804764677056</v>
      </c>
      <c r="M177" s="96">
        <f>M176+$M$174</f>
        <v>16.90477989430333</v>
      </c>
      <c r="N177" s="96">
        <f>IF(($P$12+$Q$12*M177)&lt;0,0,$P$12+$Q$12*M177)</f>
        <v>238.73888538270486</v>
      </c>
      <c r="O177" s="96">
        <f aca="true" t="shared" si="5" ref="O177:O200">$P$14+$Q$14*M177</f>
        <v>24.226194973575833</v>
      </c>
      <c r="P177" s="97">
        <f aca="true" t="shared" si="6" ref="P177:P200">$Q$77</f>
        <v>91.4428958187105</v>
      </c>
      <c r="Q177" s="99">
        <f>Q176+$Q$174</f>
        <v>1.8285800031942792</v>
      </c>
      <c r="R177" s="96">
        <f>($P$71+$Q$71*Q177+$S$71*(Q177^2))/Q177</f>
        <v>282.75053780284827</v>
      </c>
      <c r="S177" s="96">
        <f aca="true" t="shared" si="7" ref="S177:S200">$Q$71+2*$S$71*(Q177)</f>
        <v>16.628640025554233</v>
      </c>
      <c r="T177" s="101">
        <f aca="true" t="shared" si="8" ref="T177:T200">$Q$77</f>
        <v>91.4428958187105</v>
      </c>
      <c r="U177" s="102">
        <f>T177-R177</f>
        <v>-191.30764198413777</v>
      </c>
    </row>
    <row r="178" spans="2:21" ht="0.75" customHeight="1">
      <c r="B178" s="96">
        <f aca="true" t="shared" si="9" ref="B178:B200">B177+$B$174</f>
        <v>42.26897995772629</v>
      </c>
      <c r="C178" s="1">
        <f aca="true" t="shared" si="10" ref="C178:C200">IF(($E$12+$F$12*B178)&lt;0,0,$E$12+$F$12*B178)</f>
        <v>214.43275501056843</v>
      </c>
      <c r="D178" s="96">
        <f t="shared" si="0"/>
        <v>32.453795991545256</v>
      </c>
      <c r="E178" s="97">
        <f t="shared" si="1"/>
        <v>113.33333333333334</v>
      </c>
      <c r="F178" s="99">
        <f aca="true" t="shared" si="11" ref="F178:F200">F177+$F$174</f>
        <v>4.489650303501461</v>
      </c>
      <c r="G178" s="96">
        <f t="shared" si="2"/>
        <v>189.6648279012969</v>
      </c>
      <c r="H178" s="96">
        <f t="shared" si="3"/>
        <v>21.354461335406434</v>
      </c>
      <c r="I178" s="101">
        <f t="shared" si="4"/>
        <v>113.33333333333334</v>
      </c>
      <c r="J178" s="102">
        <f aca="true" t="shared" si="12" ref="J178:J200">I178-G178</f>
        <v>-76.33149456796355</v>
      </c>
      <c r="M178" s="96">
        <f aca="true" t="shared" si="13" ref="M178:M200">M177+$M$174</f>
        <v>33.80955978860666</v>
      </c>
      <c r="N178" s="96">
        <f aca="true" t="shared" si="14" ref="N178:N200">IF(($P$12+$Q$12*M178)&lt;0,0,$P$12+$Q$12*M178)</f>
        <v>229.47777076540973</v>
      </c>
      <c r="O178" s="96">
        <f t="shared" si="5"/>
        <v>28.452389947151666</v>
      </c>
      <c r="P178" s="97">
        <f t="shared" si="6"/>
        <v>91.4428958187105</v>
      </c>
      <c r="Q178" s="99">
        <f aca="true" t="shared" si="15" ref="Q178:Q200">Q177+$Q$174</f>
        <v>3.6571600063885583</v>
      </c>
      <c r="R178" s="96">
        <f aca="true" t="shared" si="16" ref="R178:R200">($P$71+$Q$71*Q178+$S$71*(Q178^2))/Q178</f>
        <v>153.34674892058982</v>
      </c>
      <c r="S178" s="96">
        <f t="shared" si="7"/>
        <v>31.257280051108467</v>
      </c>
      <c r="T178" s="101">
        <f t="shared" si="8"/>
        <v>91.4428958187105</v>
      </c>
      <c r="U178" s="102">
        <f aca="true" t="shared" si="17" ref="U178:U200">T178-R178</f>
        <v>-61.90385310187932</v>
      </c>
    </row>
    <row r="179" spans="2:21" ht="0.75" customHeight="1">
      <c r="B179" s="96">
        <f t="shared" si="9"/>
        <v>63.40346993658943</v>
      </c>
      <c r="C179" s="1">
        <f t="shared" si="10"/>
        <v>209.14913251585264</v>
      </c>
      <c r="D179" s="96">
        <f t="shared" si="0"/>
        <v>36.68069398731789</v>
      </c>
      <c r="E179" s="97">
        <f t="shared" si="1"/>
        <v>113.33333333333334</v>
      </c>
      <c r="F179" s="99">
        <f t="shared" si="11"/>
        <v>6.734475455252192</v>
      </c>
      <c r="G179" s="96">
        <f t="shared" si="2"/>
        <v>135.2075774906173</v>
      </c>
      <c r="H179" s="96">
        <f t="shared" si="3"/>
        <v>31.23169200310965</v>
      </c>
      <c r="I179" s="101">
        <f t="shared" si="4"/>
        <v>113.33333333333334</v>
      </c>
      <c r="J179" s="102">
        <f t="shared" si="12"/>
        <v>-21.874244157283954</v>
      </c>
      <c r="M179" s="96">
        <f t="shared" si="13"/>
        <v>50.714339682909994</v>
      </c>
      <c r="N179" s="96">
        <f t="shared" si="14"/>
        <v>220.2166561481146</v>
      </c>
      <c r="O179" s="96">
        <f t="shared" si="5"/>
        <v>32.6785849207275</v>
      </c>
      <c r="P179" s="97">
        <f t="shared" si="6"/>
        <v>91.4428958187105</v>
      </c>
      <c r="Q179" s="99">
        <f t="shared" si="15"/>
        <v>5.4857400095828375</v>
      </c>
      <c r="R179" s="96">
        <f t="shared" si="16"/>
        <v>115.08836596835506</v>
      </c>
      <c r="S179" s="96">
        <f t="shared" si="7"/>
        <v>45.8859200766627</v>
      </c>
      <c r="T179" s="101">
        <f t="shared" si="8"/>
        <v>91.4428958187105</v>
      </c>
      <c r="U179" s="102">
        <f t="shared" si="17"/>
        <v>-23.645470149644567</v>
      </c>
    </row>
    <row r="180" spans="2:21" ht="0.75" customHeight="1">
      <c r="B180" s="96">
        <f t="shared" si="9"/>
        <v>84.53795991545257</v>
      </c>
      <c r="C180" s="1">
        <f t="shared" si="10"/>
        <v>203.86551002113686</v>
      </c>
      <c r="D180" s="96">
        <f t="shared" si="0"/>
        <v>40.90759198309051</v>
      </c>
      <c r="E180" s="97">
        <f t="shared" si="1"/>
        <v>113.33333333333334</v>
      </c>
      <c r="F180" s="99">
        <f t="shared" si="11"/>
        <v>8.979300607002923</v>
      </c>
      <c r="G180" s="96">
        <f t="shared" si="2"/>
        <v>110.44825995220326</v>
      </c>
      <c r="H180" s="96">
        <f t="shared" si="3"/>
        <v>41.108922670812866</v>
      </c>
      <c r="I180" s="101">
        <f t="shared" si="4"/>
        <v>113.33333333333334</v>
      </c>
      <c r="J180" s="102">
        <f t="shared" si="12"/>
        <v>2.885073381130084</v>
      </c>
      <c r="M180" s="96">
        <f t="shared" si="13"/>
        <v>67.61911957721333</v>
      </c>
      <c r="N180" s="96">
        <f t="shared" si="14"/>
        <v>210.95554153081946</v>
      </c>
      <c r="O180" s="96">
        <f t="shared" si="5"/>
        <v>36.90477989430333</v>
      </c>
      <c r="P180" s="97">
        <f t="shared" si="6"/>
        <v>91.4428958187105</v>
      </c>
      <c r="Q180" s="99">
        <f t="shared" si="15"/>
        <v>7.314320012777117</v>
      </c>
      <c r="R180" s="96">
        <f t="shared" si="16"/>
        <v>99.61633449862626</v>
      </c>
      <c r="S180" s="96">
        <f t="shared" si="7"/>
        <v>60.51456010221693</v>
      </c>
      <c r="T180" s="101">
        <f t="shared" si="8"/>
        <v>91.4428958187105</v>
      </c>
      <c r="U180" s="102">
        <f t="shared" si="17"/>
        <v>-8.173438679915762</v>
      </c>
    </row>
    <row r="181" spans="2:21" ht="0.75" customHeight="1">
      <c r="B181" s="96">
        <f t="shared" si="9"/>
        <v>105.67244989431572</v>
      </c>
      <c r="C181" s="1">
        <f t="shared" si="10"/>
        <v>198.58188752642107</v>
      </c>
      <c r="D181" s="96">
        <f t="shared" si="0"/>
        <v>45.134489978863144</v>
      </c>
      <c r="E181" s="97">
        <f t="shared" si="1"/>
        <v>113.33333333333334</v>
      </c>
      <c r="F181" s="99">
        <f t="shared" si="11"/>
        <v>11.224125758753654</v>
      </c>
      <c r="G181" s="96">
        <f t="shared" si="2"/>
        <v>97.56811556269551</v>
      </c>
      <c r="H181" s="96">
        <f t="shared" si="3"/>
        <v>50.98615333851608</v>
      </c>
      <c r="I181" s="101">
        <f t="shared" si="4"/>
        <v>113.33333333333334</v>
      </c>
      <c r="J181" s="102">
        <f t="shared" si="12"/>
        <v>15.765217770637832</v>
      </c>
      <c r="M181" s="96">
        <f t="shared" si="13"/>
        <v>84.52389947151666</v>
      </c>
      <c r="N181" s="96">
        <f t="shared" si="14"/>
        <v>201.69442691352432</v>
      </c>
      <c r="O181" s="96">
        <f t="shared" si="5"/>
        <v>41.13097486787916</v>
      </c>
      <c r="P181" s="97">
        <f t="shared" si="6"/>
        <v>91.4428958187105</v>
      </c>
      <c r="Q181" s="99">
        <f t="shared" si="15"/>
        <v>9.142900015971396</v>
      </c>
      <c r="R181" s="96">
        <f t="shared" si="16"/>
        <v>93.25884362189983</v>
      </c>
      <c r="S181" s="96">
        <f t="shared" si="7"/>
        <v>75.14320012777117</v>
      </c>
      <c r="T181" s="101">
        <f t="shared" si="8"/>
        <v>91.4428958187105</v>
      </c>
      <c r="U181" s="102">
        <f t="shared" si="17"/>
        <v>-1.8159478031893315</v>
      </c>
    </row>
    <row r="182" spans="2:21" ht="0.75" customHeight="1">
      <c r="B182" s="96">
        <f t="shared" si="9"/>
        <v>126.80693987317886</v>
      </c>
      <c r="C182" s="1">
        <f t="shared" si="10"/>
        <v>193.29826503170528</v>
      </c>
      <c r="D182" s="96">
        <f t="shared" si="0"/>
        <v>49.361387974635775</v>
      </c>
      <c r="E182" s="97">
        <f t="shared" si="1"/>
        <v>113.33333333333334</v>
      </c>
      <c r="F182" s="99">
        <f t="shared" si="11"/>
        <v>13.468950910504386</v>
      </c>
      <c r="G182" s="96">
        <f t="shared" si="2"/>
        <v>90.62755774764088</v>
      </c>
      <c r="H182" s="96">
        <f t="shared" si="3"/>
        <v>60.863384006219306</v>
      </c>
      <c r="I182" s="101">
        <f t="shared" si="4"/>
        <v>113.33333333333334</v>
      </c>
      <c r="J182" s="102">
        <f t="shared" si="12"/>
        <v>22.705775585692464</v>
      </c>
      <c r="M182" s="96">
        <f t="shared" si="13"/>
        <v>101.42867936581999</v>
      </c>
      <c r="N182" s="96">
        <f t="shared" si="14"/>
        <v>192.4333122962292</v>
      </c>
      <c r="O182" s="96">
        <f t="shared" si="5"/>
        <v>45.357169841455</v>
      </c>
      <c r="P182" s="97">
        <f t="shared" si="6"/>
        <v>91.4428958187105</v>
      </c>
      <c r="Q182" s="99">
        <f t="shared" si="15"/>
        <v>10.971480019165675</v>
      </c>
      <c r="R182" s="96">
        <f t="shared" si="16"/>
        <v>91.45862304167456</v>
      </c>
      <c r="S182" s="96">
        <f t="shared" si="7"/>
        <v>89.7718401533254</v>
      </c>
      <c r="T182" s="101">
        <f t="shared" si="8"/>
        <v>91.4428958187105</v>
      </c>
      <c r="U182" s="102">
        <f t="shared" si="17"/>
        <v>-0.015727222964059706</v>
      </c>
    </row>
    <row r="183" spans="2:21" ht="0.75" customHeight="1">
      <c r="B183" s="96">
        <f t="shared" si="9"/>
        <v>147.941429852042</v>
      </c>
      <c r="C183" s="1">
        <f t="shared" si="10"/>
        <v>188.0146425369895</v>
      </c>
      <c r="D183" s="96">
        <f t="shared" si="0"/>
        <v>53.58828597040841</v>
      </c>
      <c r="E183" s="97">
        <f t="shared" si="1"/>
        <v>113.33333333333334</v>
      </c>
      <c r="F183" s="99">
        <f t="shared" si="11"/>
        <v>15.713776062255118</v>
      </c>
      <c r="G183" s="96">
        <f t="shared" si="2"/>
        <v>87.0810494037023</v>
      </c>
      <c r="H183" s="96">
        <f t="shared" si="3"/>
        <v>70.74061467392252</v>
      </c>
      <c r="I183" s="101">
        <f t="shared" si="4"/>
        <v>113.33333333333334</v>
      </c>
      <c r="J183" s="102">
        <f t="shared" si="12"/>
        <v>26.252283929631048</v>
      </c>
      <c r="M183" s="96">
        <f t="shared" si="13"/>
        <v>118.33345926012332</v>
      </c>
      <c r="N183" s="96">
        <f t="shared" si="14"/>
        <v>183.17219767893403</v>
      </c>
      <c r="O183" s="96">
        <f t="shared" si="5"/>
        <v>49.58336481503083</v>
      </c>
      <c r="P183" s="97">
        <f t="shared" si="6"/>
        <v>91.4428958187105</v>
      </c>
      <c r="Q183" s="99">
        <f t="shared" si="15"/>
        <v>12.800060022359954</v>
      </c>
      <c r="R183" s="96">
        <f t="shared" si="16"/>
        <v>92.26255691659284</v>
      </c>
      <c r="S183" s="96">
        <f t="shared" si="7"/>
        <v>104.40048017887963</v>
      </c>
      <c r="T183" s="101">
        <f t="shared" si="8"/>
        <v>91.4428958187105</v>
      </c>
      <c r="U183" s="102">
        <f t="shared" si="17"/>
        <v>-0.8196610978823458</v>
      </c>
    </row>
    <row r="184" spans="2:21" ht="0.75" customHeight="1">
      <c r="B184" s="96">
        <f t="shared" si="9"/>
        <v>169.07591983090515</v>
      </c>
      <c r="C184" s="1">
        <f t="shared" si="10"/>
        <v>182.7310200422737</v>
      </c>
      <c r="D184" s="96">
        <f t="shared" si="0"/>
        <v>57.81518396618103</v>
      </c>
      <c r="E184" s="97">
        <f t="shared" si="1"/>
        <v>113.33333333333334</v>
      </c>
      <c r="F184" s="99">
        <f t="shared" si="11"/>
        <v>17.95860121400585</v>
      </c>
      <c r="G184" s="96">
        <f t="shared" si="2"/>
        <v>85.65582197921127</v>
      </c>
      <c r="H184" s="96">
        <f t="shared" si="3"/>
        <v>80.61784534162574</v>
      </c>
      <c r="I184" s="101">
        <f t="shared" si="4"/>
        <v>113.33333333333334</v>
      </c>
      <c r="J184" s="102">
        <f t="shared" si="12"/>
        <v>27.677511354122075</v>
      </c>
      <c r="M184" s="96">
        <f t="shared" si="13"/>
        <v>135.23823915442665</v>
      </c>
      <c r="N184" s="96">
        <f t="shared" si="14"/>
        <v>173.91108306163892</v>
      </c>
      <c r="O184" s="96">
        <f t="shared" si="5"/>
        <v>53.80955978860666</v>
      </c>
      <c r="P184" s="97">
        <f t="shared" si="6"/>
        <v>91.4428958187105</v>
      </c>
      <c r="Q184" s="99">
        <f t="shared" si="15"/>
        <v>14.628640025554233</v>
      </c>
      <c r="R184" s="96">
        <f t="shared" si="16"/>
        <v>94.69408732597581</v>
      </c>
      <c r="S184" s="96">
        <f t="shared" si="7"/>
        <v>119.02912020443387</v>
      </c>
      <c r="T184" s="101">
        <f t="shared" si="8"/>
        <v>91.4428958187105</v>
      </c>
      <c r="U184" s="102">
        <f t="shared" si="17"/>
        <v>-3.251191507265318</v>
      </c>
    </row>
    <row r="185" spans="2:21" ht="0.75" customHeight="1">
      <c r="B185" s="96">
        <f t="shared" si="9"/>
        <v>190.2104098097683</v>
      </c>
      <c r="C185" s="1">
        <f t="shared" si="10"/>
        <v>177.44739754755793</v>
      </c>
      <c r="D185" s="96">
        <f t="shared" si="0"/>
        <v>62.04208196195366</v>
      </c>
      <c r="E185" s="97">
        <f t="shared" si="1"/>
        <v>113.33333333333334</v>
      </c>
      <c r="F185" s="99">
        <f t="shared" si="11"/>
        <v>20.20342636575658</v>
      </c>
      <c r="G185" s="96">
        <f t="shared" si="2"/>
        <v>85.64478183435195</v>
      </c>
      <c r="H185" s="96">
        <f t="shared" si="3"/>
        <v>90.49507600932895</v>
      </c>
      <c r="I185" s="101">
        <f t="shared" si="4"/>
        <v>113.33333333333334</v>
      </c>
      <c r="J185" s="102">
        <f t="shared" si="12"/>
        <v>27.688551498981397</v>
      </c>
      <c r="M185" s="96">
        <f t="shared" si="13"/>
        <v>152.14301904872997</v>
      </c>
      <c r="N185" s="96">
        <f t="shared" si="14"/>
        <v>164.64996844434376</v>
      </c>
      <c r="O185" s="96">
        <f t="shared" si="5"/>
        <v>58.03575476218249</v>
      </c>
      <c r="P185" s="97">
        <f t="shared" si="6"/>
        <v>91.4428958187105</v>
      </c>
      <c r="Q185" s="99">
        <f t="shared" si="15"/>
        <v>16.457220028748512</v>
      </c>
      <c r="R185" s="96">
        <f t="shared" si="16"/>
        <v>98.21068209166863</v>
      </c>
      <c r="S185" s="96">
        <f t="shared" si="7"/>
        <v>133.6577602299881</v>
      </c>
      <c r="T185" s="101">
        <f t="shared" si="8"/>
        <v>91.4428958187105</v>
      </c>
      <c r="U185" s="102">
        <f t="shared" si="17"/>
        <v>-6.7677862729581335</v>
      </c>
    </row>
    <row r="186" spans="2:21" ht="0.75" customHeight="1">
      <c r="B186" s="96">
        <f t="shared" si="9"/>
        <v>211.34489978863144</v>
      </c>
      <c r="C186" s="1">
        <f t="shared" si="10"/>
        <v>172.16377505284214</v>
      </c>
      <c r="D186" s="96">
        <f t="shared" si="0"/>
        <v>66.26897995772629</v>
      </c>
      <c r="E186" s="97">
        <f t="shared" si="1"/>
        <v>113.33333333333334</v>
      </c>
      <c r="F186" s="99">
        <f t="shared" si="11"/>
        <v>22.448251517507313</v>
      </c>
      <c r="G186" s="96">
        <f t="shared" si="2"/>
        <v>86.62367278523482</v>
      </c>
      <c r="H186" s="96">
        <f t="shared" si="3"/>
        <v>100.37230667703217</v>
      </c>
      <c r="I186" s="101">
        <f t="shared" si="4"/>
        <v>113.33333333333334</v>
      </c>
      <c r="J186" s="102">
        <f t="shared" si="12"/>
        <v>26.709660548098526</v>
      </c>
      <c r="M186" s="96">
        <f t="shared" si="13"/>
        <v>169.04779894303329</v>
      </c>
      <c r="N186" s="96">
        <f t="shared" si="14"/>
        <v>155.38885382704865</v>
      </c>
      <c r="O186" s="96">
        <f t="shared" si="5"/>
        <v>62.26194973575832</v>
      </c>
      <c r="P186" s="97">
        <f t="shared" si="6"/>
        <v>91.4428958187105</v>
      </c>
      <c r="Q186" s="99">
        <f t="shared" si="15"/>
        <v>18.28580003194279</v>
      </c>
      <c r="R186" s="96">
        <f t="shared" si="16"/>
        <v>102.48682190677829</v>
      </c>
      <c r="S186" s="96">
        <f t="shared" si="7"/>
        <v>148.28640025554233</v>
      </c>
      <c r="T186" s="101">
        <f t="shared" si="8"/>
        <v>91.4428958187105</v>
      </c>
      <c r="U186" s="102">
        <f t="shared" si="17"/>
        <v>-11.043926088067792</v>
      </c>
    </row>
    <row r="187" spans="2:21" ht="0.75" customHeight="1">
      <c r="B187" s="96">
        <f t="shared" si="9"/>
        <v>232.47938976749458</v>
      </c>
      <c r="C187" s="1">
        <f t="shared" si="10"/>
        <v>166.88015255812635</v>
      </c>
      <c r="D187" s="96">
        <f t="shared" si="0"/>
        <v>70.49587795349892</v>
      </c>
      <c r="E187" s="97">
        <f t="shared" si="1"/>
        <v>113.33333333333334</v>
      </c>
      <c r="F187" s="99">
        <f t="shared" si="11"/>
        <v>24.693076669258044</v>
      </c>
      <c r="G187" s="96">
        <f t="shared" si="2"/>
        <v>88.32251362393019</v>
      </c>
      <c r="H187" s="96">
        <f t="shared" si="3"/>
        <v>110.2495373447354</v>
      </c>
      <c r="I187" s="101">
        <f t="shared" si="4"/>
        <v>113.33333333333334</v>
      </c>
      <c r="J187" s="102">
        <f t="shared" si="12"/>
        <v>25.01081970940315</v>
      </c>
      <c r="M187" s="96">
        <f t="shared" si="13"/>
        <v>185.9525788373366</v>
      </c>
      <c r="N187" s="96">
        <f t="shared" si="14"/>
        <v>146.1277392097535</v>
      </c>
      <c r="O187" s="96">
        <f t="shared" si="5"/>
        <v>66.48814470933415</v>
      </c>
      <c r="P187" s="97">
        <f t="shared" si="6"/>
        <v>91.4428958187105</v>
      </c>
      <c r="Q187" s="99">
        <f t="shared" si="15"/>
        <v>20.11438003513707</v>
      </c>
      <c r="R187" s="96">
        <f t="shared" si="16"/>
        <v>107.31535812146385</v>
      </c>
      <c r="S187" s="96">
        <f t="shared" si="7"/>
        <v>162.91504028109657</v>
      </c>
      <c r="T187" s="101">
        <f t="shared" si="8"/>
        <v>91.4428958187105</v>
      </c>
      <c r="U187" s="102">
        <f t="shared" si="17"/>
        <v>-15.872462302753348</v>
      </c>
    </row>
    <row r="188" spans="2:21" ht="0.75" customHeight="1">
      <c r="B188" s="96">
        <f t="shared" si="9"/>
        <v>253.61387974635772</v>
      </c>
      <c r="C188" s="1">
        <f t="shared" si="10"/>
        <v>161.59653006341057</v>
      </c>
      <c r="D188" s="96">
        <f t="shared" si="0"/>
        <v>74.72277594927155</v>
      </c>
      <c r="E188" s="97">
        <f t="shared" si="1"/>
        <v>113.33333333333334</v>
      </c>
      <c r="F188" s="99">
        <f t="shared" si="11"/>
        <v>26.937901821008776</v>
      </c>
      <c r="G188" s="96">
        <f t="shared" si="2"/>
        <v>90.56131687848492</v>
      </c>
      <c r="H188" s="96">
        <f t="shared" si="3"/>
        <v>120.12676801243862</v>
      </c>
      <c r="I188" s="101">
        <f t="shared" si="4"/>
        <v>113.33333333333334</v>
      </c>
      <c r="J188" s="102">
        <f t="shared" si="12"/>
        <v>22.772016454848426</v>
      </c>
      <c r="M188" s="96">
        <f t="shared" si="13"/>
        <v>202.85735873163992</v>
      </c>
      <c r="N188" s="96">
        <f t="shared" si="14"/>
        <v>136.86662459245838</v>
      </c>
      <c r="O188" s="96">
        <f t="shared" si="5"/>
        <v>70.71433968290998</v>
      </c>
      <c r="P188" s="97">
        <f t="shared" si="6"/>
        <v>91.4428958187105</v>
      </c>
      <c r="Q188" s="99">
        <f t="shared" si="15"/>
        <v>21.94296003833135</v>
      </c>
      <c r="R188" s="96">
        <f t="shared" si="16"/>
        <v>112.55819163583132</v>
      </c>
      <c r="S188" s="96">
        <f t="shared" si="7"/>
        <v>177.5436803066508</v>
      </c>
      <c r="T188" s="101">
        <f t="shared" si="8"/>
        <v>91.4428958187105</v>
      </c>
      <c r="U188" s="102">
        <f t="shared" si="17"/>
        <v>-21.115295817120824</v>
      </c>
    </row>
    <row r="189" spans="2:21" ht="0.75" customHeight="1">
      <c r="B189" s="96">
        <f t="shared" si="9"/>
        <v>274.74836972522087</v>
      </c>
      <c r="C189" s="1">
        <f t="shared" si="10"/>
        <v>156.31290756869478</v>
      </c>
      <c r="D189" s="96">
        <f t="shared" si="0"/>
        <v>78.94967394504417</v>
      </c>
      <c r="E189" s="97">
        <f t="shared" si="1"/>
        <v>113.33333333333334</v>
      </c>
      <c r="F189" s="99">
        <f t="shared" si="11"/>
        <v>29.182726972759507</v>
      </c>
      <c r="G189" s="96">
        <f t="shared" si="2"/>
        <v>93.21547583754686</v>
      </c>
      <c r="H189" s="96">
        <f t="shared" si="3"/>
        <v>130.00399868014185</v>
      </c>
      <c r="I189" s="101">
        <f t="shared" si="4"/>
        <v>113.33333333333334</v>
      </c>
      <c r="J189" s="102">
        <f t="shared" si="12"/>
        <v>20.11785749578648</v>
      </c>
      <c r="M189" s="96">
        <f t="shared" si="13"/>
        <v>219.76213862594324</v>
      </c>
      <c r="N189" s="96">
        <f t="shared" si="14"/>
        <v>127.60550997516326</v>
      </c>
      <c r="O189" s="96">
        <f t="shared" si="5"/>
        <v>74.94053465648581</v>
      </c>
      <c r="P189" s="97">
        <f t="shared" si="6"/>
        <v>91.4428958187105</v>
      </c>
      <c r="Q189" s="99">
        <f t="shared" si="15"/>
        <v>23.77154004152563</v>
      </c>
      <c r="R189" s="96">
        <f t="shared" si="16"/>
        <v>118.11971538072338</v>
      </c>
      <c r="S189" s="96">
        <f t="shared" si="7"/>
        <v>192.17232033220503</v>
      </c>
      <c r="T189" s="101">
        <f t="shared" si="8"/>
        <v>91.4428958187105</v>
      </c>
      <c r="U189" s="102">
        <f t="shared" si="17"/>
        <v>-26.67681956201288</v>
      </c>
    </row>
    <row r="190" spans="2:21" ht="0.75" customHeight="1">
      <c r="B190" s="96">
        <f t="shared" si="9"/>
        <v>295.882859704084</v>
      </c>
      <c r="C190" s="1">
        <f t="shared" si="10"/>
        <v>151.029285073979</v>
      </c>
      <c r="D190" s="96">
        <f t="shared" si="0"/>
        <v>83.17657194081681</v>
      </c>
      <c r="E190" s="97">
        <f t="shared" si="1"/>
        <v>113.33333333333334</v>
      </c>
      <c r="F190" s="99">
        <f t="shared" si="11"/>
        <v>31.42755212451024</v>
      </c>
      <c r="G190" s="96">
        <f t="shared" si="2"/>
        <v>96.19598570729305</v>
      </c>
      <c r="H190" s="96">
        <f t="shared" si="3"/>
        <v>139.88122934784505</v>
      </c>
      <c r="I190" s="101">
        <f t="shared" si="4"/>
        <v>113.33333333333334</v>
      </c>
      <c r="J190" s="102">
        <f t="shared" si="12"/>
        <v>17.137347626040295</v>
      </c>
      <c r="M190" s="96">
        <f t="shared" si="13"/>
        <v>236.66691852024655</v>
      </c>
      <c r="N190" s="96">
        <f t="shared" si="14"/>
        <v>118.34439535786814</v>
      </c>
      <c r="O190" s="96">
        <f t="shared" si="5"/>
        <v>79.16672963006164</v>
      </c>
      <c r="P190" s="97">
        <f t="shared" si="6"/>
        <v>91.4428958187105</v>
      </c>
      <c r="Q190" s="99">
        <f t="shared" si="15"/>
        <v>25.600120044719908</v>
      </c>
      <c r="R190" s="96">
        <f t="shared" si="16"/>
        <v>123.93163859245615</v>
      </c>
      <c r="S190" s="96">
        <f t="shared" si="7"/>
        <v>206.80096035775927</v>
      </c>
      <c r="T190" s="101">
        <f t="shared" si="8"/>
        <v>91.4428958187105</v>
      </c>
      <c r="U190" s="102">
        <f t="shared" si="17"/>
        <v>-32.488742773745656</v>
      </c>
    </row>
    <row r="191" spans="2:21" ht="0.75" customHeight="1">
      <c r="B191" s="96">
        <f t="shared" si="9"/>
        <v>317.01734968294716</v>
      </c>
      <c r="C191" s="1">
        <f t="shared" si="10"/>
        <v>145.7456625792632</v>
      </c>
      <c r="D191" s="96">
        <f t="shared" si="0"/>
        <v>87.40346993658943</v>
      </c>
      <c r="E191" s="97">
        <f t="shared" si="1"/>
        <v>113.33333333333334</v>
      </c>
      <c r="F191" s="99">
        <f t="shared" si="11"/>
        <v>33.67237727626097</v>
      </c>
      <c r="G191" s="96">
        <f t="shared" si="2"/>
        <v>99.43757630558662</v>
      </c>
      <c r="H191" s="96">
        <f t="shared" si="3"/>
        <v>149.75846001554825</v>
      </c>
      <c r="I191" s="101">
        <f t="shared" si="4"/>
        <v>113.33333333333334</v>
      </c>
      <c r="J191" s="102">
        <f t="shared" si="12"/>
        <v>13.895757027746725</v>
      </c>
      <c r="M191" s="96">
        <f t="shared" si="13"/>
        <v>253.57169841454987</v>
      </c>
      <c r="N191" s="96">
        <f t="shared" si="14"/>
        <v>109.083280740573</v>
      </c>
      <c r="O191" s="96">
        <f t="shared" si="5"/>
        <v>83.39292460363747</v>
      </c>
      <c r="P191" s="97">
        <f t="shared" si="6"/>
        <v>91.4428958187105</v>
      </c>
      <c r="Q191" s="99">
        <f t="shared" si="15"/>
        <v>27.428700047914187</v>
      </c>
      <c r="R191" s="96">
        <f t="shared" si="16"/>
        <v>129.94388137766148</v>
      </c>
      <c r="S191" s="96">
        <f t="shared" si="7"/>
        <v>221.4296003833135</v>
      </c>
      <c r="T191" s="101">
        <f t="shared" si="8"/>
        <v>91.4428958187105</v>
      </c>
      <c r="U191" s="102">
        <f t="shared" si="17"/>
        <v>-38.50098555895099</v>
      </c>
    </row>
    <row r="192" spans="2:21" ht="0.75" customHeight="1">
      <c r="B192" s="96">
        <f t="shared" si="9"/>
        <v>338.1518396618103</v>
      </c>
      <c r="C192" s="1">
        <f t="shared" si="10"/>
        <v>140.46204008454743</v>
      </c>
      <c r="D192" s="96">
        <f t="shared" si="0"/>
        <v>91.63036793236206</v>
      </c>
      <c r="E192" s="97">
        <f t="shared" si="1"/>
        <v>113.33333333333334</v>
      </c>
      <c r="F192" s="99">
        <f t="shared" si="11"/>
        <v>35.9172024280117</v>
      </c>
      <c r="G192" s="96">
        <f t="shared" si="2"/>
        <v>102.89129499582494</v>
      </c>
      <c r="H192" s="96">
        <f t="shared" si="3"/>
        <v>159.63569068325148</v>
      </c>
      <c r="I192" s="101">
        <f t="shared" si="4"/>
        <v>113.33333333333334</v>
      </c>
      <c r="J192" s="102">
        <f t="shared" si="12"/>
        <v>10.442038337508407</v>
      </c>
      <c r="M192" s="96">
        <f t="shared" si="13"/>
        <v>270.4764783088532</v>
      </c>
      <c r="N192" s="96">
        <f t="shared" si="14"/>
        <v>99.82216612327787</v>
      </c>
      <c r="O192" s="96">
        <f t="shared" si="5"/>
        <v>87.6191195772133</v>
      </c>
      <c r="P192" s="97">
        <f t="shared" si="6"/>
        <v>91.4428958187105</v>
      </c>
      <c r="Q192" s="99">
        <f t="shared" si="15"/>
        <v>29.257280051108467</v>
      </c>
      <c r="R192" s="96">
        <f t="shared" si="16"/>
        <v>136.1188838163133</v>
      </c>
      <c r="S192" s="96">
        <f t="shared" si="7"/>
        <v>236.05824040886773</v>
      </c>
      <c r="T192" s="101">
        <f t="shared" si="8"/>
        <v>91.4428958187105</v>
      </c>
      <c r="U192" s="102">
        <f t="shared" si="17"/>
        <v>-44.67598799760282</v>
      </c>
    </row>
    <row r="193" spans="2:21" ht="0.75" customHeight="1">
      <c r="B193" s="96">
        <f t="shared" si="9"/>
        <v>359.28632964067344</v>
      </c>
      <c r="C193" s="1">
        <f t="shared" si="10"/>
        <v>135.17841758983164</v>
      </c>
      <c r="D193" s="96">
        <f t="shared" si="0"/>
        <v>95.8572659281347</v>
      </c>
      <c r="E193" s="97">
        <f t="shared" si="1"/>
        <v>113.33333333333334</v>
      </c>
      <c r="F193" s="99">
        <f t="shared" si="11"/>
        <v>38.16202757976243</v>
      </c>
      <c r="G193" s="96">
        <f t="shared" si="2"/>
        <v>106.5197074088413</v>
      </c>
      <c r="H193" s="96">
        <f t="shared" si="3"/>
        <v>169.5129213509547</v>
      </c>
      <c r="I193" s="101">
        <f t="shared" si="4"/>
        <v>113.33333333333334</v>
      </c>
      <c r="J193" s="102">
        <f t="shared" si="12"/>
        <v>6.813625924492044</v>
      </c>
      <c r="M193" s="96">
        <f t="shared" si="13"/>
        <v>287.3812582031565</v>
      </c>
      <c r="N193" s="96">
        <f t="shared" si="14"/>
        <v>90.56105150598273</v>
      </c>
      <c r="O193" s="96">
        <f t="shared" si="5"/>
        <v>91.84531455078913</v>
      </c>
      <c r="P193" s="97">
        <f t="shared" si="6"/>
        <v>91.4428958187105</v>
      </c>
      <c r="Q193" s="99">
        <f t="shared" si="15"/>
        <v>31.085860054302746</v>
      </c>
      <c r="R193" s="96">
        <f t="shared" si="16"/>
        <v>142.42792361662694</v>
      </c>
      <c r="S193" s="96">
        <f t="shared" si="7"/>
        <v>250.68688043442197</v>
      </c>
      <c r="T193" s="101">
        <f t="shared" si="8"/>
        <v>91.4428958187105</v>
      </c>
      <c r="U193" s="102">
        <f t="shared" si="17"/>
        <v>-50.985027797916445</v>
      </c>
    </row>
    <row r="194" spans="2:21" ht="0.75" customHeight="1">
      <c r="B194" s="96">
        <f t="shared" si="9"/>
        <v>380.4208196195366</v>
      </c>
      <c r="C194" s="1">
        <f t="shared" si="10"/>
        <v>129.89479509511585</v>
      </c>
      <c r="D194" s="96">
        <f t="shared" si="0"/>
        <v>100.08416392390733</v>
      </c>
      <c r="E194" s="97">
        <f t="shared" si="1"/>
        <v>113.33333333333334</v>
      </c>
      <c r="F194" s="99">
        <f t="shared" si="11"/>
        <v>40.40685273151316</v>
      </c>
      <c r="G194" s="96">
        <f t="shared" si="2"/>
        <v>110.29369792417269</v>
      </c>
      <c r="H194" s="96">
        <f t="shared" si="3"/>
        <v>179.39015201865791</v>
      </c>
      <c r="I194" s="101">
        <f t="shared" si="4"/>
        <v>113.33333333333334</v>
      </c>
      <c r="J194" s="102">
        <f t="shared" si="12"/>
        <v>3.0396354091606526</v>
      </c>
      <c r="M194" s="96">
        <f t="shared" si="13"/>
        <v>304.2860380974598</v>
      </c>
      <c r="N194" s="96">
        <f t="shared" si="14"/>
        <v>81.29993688868763</v>
      </c>
      <c r="O194" s="96">
        <f t="shared" si="5"/>
        <v>96.07150952436496</v>
      </c>
      <c r="P194" s="97">
        <f t="shared" si="6"/>
        <v>91.4428958187105</v>
      </c>
      <c r="Q194" s="99">
        <f t="shared" si="15"/>
        <v>32.914440057497025</v>
      </c>
      <c r="R194" s="96">
        <f t="shared" si="16"/>
        <v>148.8486612183254</v>
      </c>
      <c r="S194" s="96">
        <f t="shared" si="7"/>
        <v>265.3155204599762</v>
      </c>
      <c r="T194" s="101">
        <f t="shared" si="8"/>
        <v>91.4428958187105</v>
      </c>
      <c r="U194" s="102">
        <f t="shared" si="17"/>
        <v>-57.40576539961489</v>
      </c>
    </row>
    <row r="195" spans="2:21" ht="0.75" customHeight="1">
      <c r="B195" s="96">
        <f t="shared" si="9"/>
        <v>401.55530959839973</v>
      </c>
      <c r="C195" s="1">
        <f t="shared" si="10"/>
        <v>124.61117260040007</v>
      </c>
      <c r="D195" s="96">
        <f t="shared" si="0"/>
        <v>104.31106191967996</v>
      </c>
      <c r="E195" s="97">
        <f t="shared" si="1"/>
        <v>113.33333333333334</v>
      </c>
      <c r="F195" s="99">
        <f t="shared" si="11"/>
        <v>42.65167788326389</v>
      </c>
      <c r="G195" s="96">
        <f t="shared" si="2"/>
        <v>114.19028052566412</v>
      </c>
      <c r="H195" s="96">
        <f t="shared" si="3"/>
        <v>189.26738268636115</v>
      </c>
      <c r="I195" s="101">
        <f t="shared" si="4"/>
        <v>113.33333333333334</v>
      </c>
      <c r="J195" s="102">
        <f t="shared" si="12"/>
        <v>-0.8569471923307788</v>
      </c>
      <c r="M195" s="96">
        <f t="shared" si="13"/>
        <v>321.19081799176314</v>
      </c>
      <c r="N195" s="96">
        <f t="shared" si="14"/>
        <v>72.03882227139249</v>
      </c>
      <c r="O195" s="96">
        <f t="shared" si="5"/>
        <v>100.29770449794079</v>
      </c>
      <c r="P195" s="97">
        <f t="shared" si="6"/>
        <v>91.4428958187105</v>
      </c>
      <c r="Q195" s="99">
        <f t="shared" si="15"/>
        <v>34.74302006069131</v>
      </c>
      <c r="R195" s="96">
        <f t="shared" si="16"/>
        <v>155.3634601264532</v>
      </c>
      <c r="S195" s="96">
        <f t="shared" si="7"/>
        <v>279.94416048553046</v>
      </c>
      <c r="T195" s="101">
        <f t="shared" si="8"/>
        <v>91.4428958187105</v>
      </c>
      <c r="U195" s="102">
        <f t="shared" si="17"/>
        <v>-63.920564307742694</v>
      </c>
    </row>
    <row r="196" spans="2:21" ht="0.75" customHeight="1">
      <c r="B196" s="96">
        <f t="shared" si="9"/>
        <v>422.6897995772629</v>
      </c>
      <c r="C196" s="1">
        <f t="shared" si="10"/>
        <v>119.32755010568428</v>
      </c>
      <c r="D196" s="96">
        <f t="shared" si="0"/>
        <v>108.53795991545257</v>
      </c>
      <c r="E196" s="97">
        <f t="shared" si="1"/>
        <v>113.33333333333334</v>
      </c>
      <c r="F196" s="99">
        <f t="shared" si="11"/>
        <v>44.896503035014625</v>
      </c>
      <c r="G196" s="96">
        <f t="shared" si="2"/>
        <v>118.19106640039156</v>
      </c>
      <c r="H196" s="96">
        <f t="shared" si="3"/>
        <v>199.14461335406435</v>
      </c>
      <c r="I196" s="101">
        <f t="shared" si="4"/>
        <v>113.33333333333334</v>
      </c>
      <c r="J196" s="102">
        <f t="shared" si="12"/>
        <v>-4.85773306705822</v>
      </c>
      <c r="M196" s="96">
        <f t="shared" si="13"/>
        <v>338.09559788606646</v>
      </c>
      <c r="N196" s="96">
        <f t="shared" si="14"/>
        <v>62.777707654097355</v>
      </c>
      <c r="O196" s="96">
        <f t="shared" si="5"/>
        <v>104.52389947151661</v>
      </c>
      <c r="P196" s="97">
        <f t="shared" si="6"/>
        <v>91.4428958187105</v>
      </c>
      <c r="Q196" s="99">
        <f t="shared" si="15"/>
        <v>36.57160006388558</v>
      </c>
      <c r="R196" s="96">
        <f t="shared" si="16"/>
        <v>161.95821114504588</v>
      </c>
      <c r="S196" s="96">
        <f t="shared" si="7"/>
        <v>294.57280051108467</v>
      </c>
      <c r="T196" s="101">
        <f t="shared" si="8"/>
        <v>91.4428958187105</v>
      </c>
      <c r="U196" s="102">
        <f t="shared" si="17"/>
        <v>-70.51531532633538</v>
      </c>
    </row>
    <row r="197" spans="2:21" ht="0.75" customHeight="1">
      <c r="B197" s="96">
        <f t="shared" si="9"/>
        <v>443.824289556126</v>
      </c>
      <c r="C197" s="1">
        <f t="shared" si="10"/>
        <v>114.0439276109685</v>
      </c>
      <c r="D197" s="96">
        <f t="shared" si="0"/>
        <v>112.7648579112252</v>
      </c>
      <c r="E197" s="97">
        <f t="shared" si="1"/>
        <v>113.33333333333334</v>
      </c>
      <c r="F197" s="99">
        <f t="shared" si="11"/>
        <v>47.14132818676536</v>
      </c>
      <c r="G197" s="96">
        <f t="shared" si="2"/>
        <v>122.28116936646414</v>
      </c>
      <c r="H197" s="96">
        <f t="shared" si="3"/>
        <v>209.02184402176758</v>
      </c>
      <c r="I197" s="101">
        <f t="shared" si="4"/>
        <v>113.33333333333334</v>
      </c>
      <c r="J197" s="102">
        <f t="shared" si="12"/>
        <v>-8.947836033130798</v>
      </c>
      <c r="M197" s="96">
        <f t="shared" si="13"/>
        <v>355.0003777803698</v>
      </c>
      <c r="N197" s="96">
        <f t="shared" si="14"/>
        <v>53.51659303680222</v>
      </c>
      <c r="O197" s="96">
        <f t="shared" si="5"/>
        <v>108.75009444509244</v>
      </c>
      <c r="P197" s="97">
        <f t="shared" si="6"/>
        <v>91.4428958187105</v>
      </c>
      <c r="Q197" s="99">
        <f t="shared" si="15"/>
        <v>38.40018006707986</v>
      </c>
      <c r="R197" s="96">
        <f t="shared" si="16"/>
        <v>168.62149254403712</v>
      </c>
      <c r="S197" s="96">
        <f t="shared" si="7"/>
        <v>309.20144053663887</v>
      </c>
      <c r="T197" s="101">
        <f t="shared" si="8"/>
        <v>91.4428958187105</v>
      </c>
      <c r="U197" s="102">
        <f t="shared" si="17"/>
        <v>-77.17859672532663</v>
      </c>
    </row>
    <row r="198" spans="2:54" ht="0.75" customHeight="1">
      <c r="B198" s="96">
        <f t="shared" si="9"/>
        <v>464.95877953498916</v>
      </c>
      <c r="C198" s="1">
        <f t="shared" si="10"/>
        <v>108.76030511625271</v>
      </c>
      <c r="D198" s="96">
        <f t="shared" si="0"/>
        <v>116.99175590699784</v>
      </c>
      <c r="E198" s="97">
        <f t="shared" si="1"/>
        <v>113.33333333333334</v>
      </c>
      <c r="F198" s="99">
        <f t="shared" si="11"/>
        <v>49.38615333851609</v>
      </c>
      <c r="G198" s="96">
        <f t="shared" si="2"/>
        <v>126.44840982051664</v>
      </c>
      <c r="H198" s="96">
        <f t="shared" si="3"/>
        <v>218.8990746894708</v>
      </c>
      <c r="I198" s="101">
        <f t="shared" si="4"/>
        <v>113.33333333333334</v>
      </c>
      <c r="J198" s="102">
        <f t="shared" si="12"/>
        <v>-13.115076487183302</v>
      </c>
      <c r="M198" s="96">
        <f t="shared" si="13"/>
        <v>371.9051576746731</v>
      </c>
      <c r="N198" s="96">
        <f t="shared" si="14"/>
        <v>44.255478419507085</v>
      </c>
      <c r="O198" s="96">
        <f t="shared" si="5"/>
        <v>112.97628941866827</v>
      </c>
      <c r="P198" s="97">
        <f t="shared" si="6"/>
        <v>91.4428958187105</v>
      </c>
      <c r="Q198" s="99">
        <f t="shared" si="15"/>
        <v>40.228760070274134</v>
      </c>
      <c r="R198" s="96">
        <f t="shared" si="16"/>
        <v>175.3439592715543</v>
      </c>
      <c r="S198" s="96">
        <f t="shared" si="7"/>
        <v>323.8300805621931</v>
      </c>
      <c r="T198" s="101">
        <f t="shared" si="8"/>
        <v>91.4428958187105</v>
      </c>
      <c r="U198" s="102">
        <f t="shared" si="17"/>
        <v>-83.9010634528438</v>
      </c>
      <c r="AR198" s="1"/>
      <c r="AU198"/>
      <c r="AX198" s="1"/>
      <c r="AZ198" s="5"/>
      <c r="BB198" s="6"/>
    </row>
    <row r="199" spans="2:54" ht="0.75" customHeight="1">
      <c r="B199" s="96">
        <f t="shared" si="9"/>
        <v>486.0932695138523</v>
      </c>
      <c r="C199" s="1">
        <f t="shared" si="10"/>
        <v>103.47668262153692</v>
      </c>
      <c r="D199" s="96">
        <f t="shared" si="0"/>
        <v>121.21865390277047</v>
      </c>
      <c r="E199" s="97">
        <f t="shared" si="1"/>
        <v>113.33333333333334</v>
      </c>
      <c r="F199" s="99">
        <f t="shared" si="11"/>
        <v>51.63097849026682</v>
      </c>
      <c r="G199" s="96">
        <f t="shared" si="2"/>
        <v>130.6827263510734</v>
      </c>
      <c r="H199" s="96">
        <f t="shared" si="3"/>
        <v>228.776305357174</v>
      </c>
      <c r="I199" s="101">
        <f t="shared" si="4"/>
        <v>113.33333333333334</v>
      </c>
      <c r="J199" s="102">
        <f t="shared" si="12"/>
        <v>-17.349393017740056</v>
      </c>
      <c r="M199" s="96">
        <f t="shared" si="13"/>
        <v>388.8099375689764</v>
      </c>
      <c r="N199" s="96">
        <f t="shared" si="14"/>
        <v>34.99436380221198</v>
      </c>
      <c r="O199" s="96">
        <f t="shared" si="5"/>
        <v>117.2024843922441</v>
      </c>
      <c r="P199" s="97">
        <f t="shared" si="6"/>
        <v>91.4428958187105</v>
      </c>
      <c r="Q199" s="99">
        <f t="shared" si="15"/>
        <v>42.05734007346841</v>
      </c>
      <c r="R199" s="96">
        <f t="shared" si="16"/>
        <v>182.1178915021376</v>
      </c>
      <c r="S199" s="96">
        <f t="shared" si="7"/>
        <v>338.4587205877473</v>
      </c>
      <c r="T199" s="101">
        <f t="shared" si="8"/>
        <v>91.4428958187105</v>
      </c>
      <c r="U199" s="102">
        <f t="shared" si="17"/>
        <v>-90.67499568342711</v>
      </c>
      <c r="AR199" s="1"/>
      <c r="AU199"/>
      <c r="AX199" s="1"/>
      <c r="AZ199" s="5"/>
      <c r="BB199" s="6"/>
    </row>
    <row r="200" spans="2:21" ht="0.75" customHeight="1">
      <c r="B200" s="96">
        <f t="shared" si="9"/>
        <v>507.22775949271545</v>
      </c>
      <c r="C200" s="1">
        <f t="shared" si="10"/>
        <v>98.19306012682114</v>
      </c>
      <c r="D200" s="96">
        <f t="shared" si="0"/>
        <v>125.4455518985431</v>
      </c>
      <c r="E200" s="97">
        <f t="shared" si="1"/>
        <v>113.33333333333334</v>
      </c>
      <c r="F200" s="99">
        <f t="shared" si="11"/>
        <v>53.87580364201755</v>
      </c>
      <c r="G200" s="96">
        <f t="shared" si="2"/>
        <v>134.97573444857142</v>
      </c>
      <c r="H200" s="96">
        <f t="shared" si="3"/>
        <v>238.65353602487724</v>
      </c>
      <c r="I200" s="101">
        <f t="shared" si="4"/>
        <v>113.33333333333334</v>
      </c>
      <c r="J200" s="102">
        <f t="shared" si="12"/>
        <v>-21.642401115238073</v>
      </c>
      <c r="M200" s="96">
        <f t="shared" si="13"/>
        <v>405.7147174632797</v>
      </c>
      <c r="N200" s="96">
        <f t="shared" si="14"/>
        <v>25.733249184916843</v>
      </c>
      <c r="O200" s="96">
        <f t="shared" si="5"/>
        <v>121.42867936581993</v>
      </c>
      <c r="P200" s="97">
        <f t="shared" si="6"/>
        <v>91.4428958187105</v>
      </c>
      <c r="Q200" s="99">
        <f t="shared" si="15"/>
        <v>43.885920076662686</v>
      </c>
      <c r="R200" s="96">
        <f t="shared" si="16"/>
        <v>188.93685604790372</v>
      </c>
      <c r="S200" s="96">
        <f t="shared" si="7"/>
        <v>353.0873606133015</v>
      </c>
      <c r="T200" s="101">
        <f t="shared" si="8"/>
        <v>91.4428958187105</v>
      </c>
      <c r="U200" s="102">
        <f t="shared" si="17"/>
        <v>-97.49396022919322</v>
      </c>
    </row>
    <row r="201" ht="0.75" customHeight="1">
      <c r="T201"/>
    </row>
    <row r="202" spans="2:21" ht="0.75" customHeight="1">
      <c r="B202" s="72" t="s">
        <v>15</v>
      </c>
      <c r="C202" s="97">
        <f>$F$93</f>
        <v>1459.3050505050505</v>
      </c>
      <c r="D202" s="125">
        <f>$F$85</f>
        <v>25.393939393939394</v>
      </c>
      <c r="E202" s="96" t="s">
        <v>21</v>
      </c>
      <c r="F202" s="123">
        <f>$F$101</f>
        <v>15.201094276094276</v>
      </c>
      <c r="G202" s="124" t="s">
        <v>19</v>
      </c>
      <c r="H202" s="96">
        <f>$F$73</f>
        <v>0.25</v>
      </c>
      <c r="I202" s="96">
        <f>$G$73</f>
        <v>0.75</v>
      </c>
      <c r="J202"/>
      <c r="M202" s="72" t="s">
        <v>15</v>
      </c>
      <c r="N202" s="97">
        <f>$Q$93</f>
        <v>522.3626997319714</v>
      </c>
      <c r="O202" s="125">
        <f>$Q$85</f>
        <v>11.180361977338812</v>
      </c>
      <c r="P202" s="96" t="s">
        <v>21</v>
      </c>
      <c r="Q202" s="123">
        <f>$Q$101</f>
        <v>5.223626997319714</v>
      </c>
      <c r="R202" s="124" t="s">
        <v>19</v>
      </c>
      <c r="S202" s="96">
        <f>$Q$73</f>
        <v>0.2</v>
      </c>
      <c r="T202" s="96">
        <f>$R$73</f>
        <v>0.8</v>
      </c>
      <c r="U202"/>
    </row>
    <row r="203" spans="6:21" ht="0.75" customHeight="1">
      <c r="F203" s="123">
        <f>$F$102</f>
        <v>6.8404924242424245</v>
      </c>
      <c r="G203" s="124" t="s">
        <v>20</v>
      </c>
      <c r="H203" s="127">
        <f>$E$74</f>
        <v>3.0405058331794717</v>
      </c>
      <c r="J203"/>
      <c r="M203" s="72"/>
      <c r="N203" s="97"/>
      <c r="Q203" s="123">
        <f>$Q$102</f>
        <v>1.8995007262980779</v>
      </c>
      <c r="R203" s="124" t="s">
        <v>20</v>
      </c>
      <c r="S203" s="127">
        <f>$P$74</f>
        <v>4.807838400295533</v>
      </c>
      <c r="T203"/>
      <c r="U203"/>
    </row>
    <row r="204" spans="2:20" ht="0.75" customHeight="1">
      <c r="B204" s="72" t="s">
        <v>22</v>
      </c>
      <c r="C204" s="132">
        <f>$C$202/$G$205</f>
        <v>9.120656565656565</v>
      </c>
      <c r="D204" s="125">
        <f>SQRT(C204)</f>
        <v>3.020042477458979</v>
      </c>
      <c r="E204" s="126" t="s">
        <v>23</v>
      </c>
      <c r="F204" s="72" t="s">
        <v>24</v>
      </c>
      <c r="G204" s="97">
        <f>$AD$17</f>
        <v>24</v>
      </c>
      <c r="H204" s="72" t="s">
        <v>27</v>
      </c>
      <c r="I204" s="131">
        <f>$F$97</f>
        <v>364.82626262626263</v>
      </c>
      <c r="M204" s="72" t="s">
        <v>22</v>
      </c>
      <c r="N204" s="99">
        <f>$N$202/$R$205</f>
        <v>2.3743759078725972</v>
      </c>
      <c r="O204" s="125">
        <f>SQRT(N204)</f>
        <v>1.540901005215</v>
      </c>
      <c r="P204" s="126" t="s">
        <v>23</v>
      </c>
      <c r="Q204" s="72" t="s">
        <v>24</v>
      </c>
      <c r="R204" s="97">
        <f>$AE$17</f>
        <v>20</v>
      </c>
      <c r="S204" s="72" t="s">
        <v>27</v>
      </c>
      <c r="T204" s="131">
        <f>$Q$97</f>
        <v>104.47253994639428</v>
      </c>
    </row>
    <row r="205" spans="2:20" ht="0.75" customHeight="1">
      <c r="B205" s="72" t="s">
        <v>26</v>
      </c>
      <c r="C205" s="96">
        <f>$C$202/$G$204</f>
        <v>60.8043771043771</v>
      </c>
      <c r="D205" s="125"/>
      <c r="F205" s="72" t="s">
        <v>25</v>
      </c>
      <c r="G205" s="97">
        <f>$AD$18</f>
        <v>160</v>
      </c>
      <c r="H205" s="72" t="s">
        <v>28</v>
      </c>
      <c r="I205" s="131">
        <f>$F$98</f>
        <v>1094.478787878788</v>
      </c>
      <c r="M205" s="72" t="s">
        <v>26</v>
      </c>
      <c r="N205" s="99">
        <f>$N$202/$R$204</f>
        <v>26.11813498659857</v>
      </c>
      <c r="Q205" s="72" t="s">
        <v>25</v>
      </c>
      <c r="R205" s="97">
        <f>$AE$18</f>
        <v>220</v>
      </c>
      <c r="S205" s="72" t="s">
        <v>28</v>
      </c>
      <c r="T205" s="131">
        <f>$Q$98</f>
        <v>417.8901597855771</v>
      </c>
    </row>
    <row r="206" spans="2:20" ht="0.75" customHeight="1">
      <c r="B206" s="72" t="s">
        <v>100</v>
      </c>
      <c r="C206" s="99" t="s">
        <v>18</v>
      </c>
      <c r="D206" s="99" t="s">
        <v>50</v>
      </c>
      <c r="M206" s="72" t="s">
        <v>100</v>
      </c>
      <c r="N206" s="99" t="s">
        <v>18</v>
      </c>
      <c r="O206" s="99" t="s">
        <v>50</v>
      </c>
      <c r="T206"/>
    </row>
    <row r="207" spans="2:20" ht="0.75" customHeight="1">
      <c r="B207" s="96">
        <v>0</v>
      </c>
      <c r="C207" s="113">
        <f>IF((($C$202-B207*$F$94)/$F$95)&lt;0,0,(($C$202-B207*$F$94)/$F$95))</f>
        <v>9.120656565656565</v>
      </c>
      <c r="D207" s="96"/>
      <c r="M207" s="96">
        <v>0</v>
      </c>
      <c r="N207" s="96">
        <f>N204</f>
        <v>2.3743759078725972</v>
      </c>
      <c r="O207" s="99"/>
      <c r="T207"/>
    </row>
    <row r="208" spans="2:20" ht="0.75" customHeight="1">
      <c r="B208" s="96">
        <f>D204</f>
        <v>3.020042477458979</v>
      </c>
      <c r="C208" s="113">
        <f>IF((($C$202-B208*$F$94)/$F$95)&lt;0,0,(($C$202-B208*$F$94)/$F$95))</f>
        <v>8.66765019403772</v>
      </c>
      <c r="D208" s="96">
        <f>EXP((LN(($D$202/$H$203)/(B208^$H$202)))/$I$202)</f>
        <v>11.723068426737122</v>
      </c>
      <c r="M208" s="96">
        <f>O204</f>
        <v>1.540901005215</v>
      </c>
      <c r="N208" s="113">
        <f>IF((($N$202-M208*$Q$94)/$Q$95)&lt;0,0,(($N$202-M208*$Q$94)/$Q$95))</f>
        <v>2.234293998307597</v>
      </c>
      <c r="O208" s="96">
        <f>EXP((LN(($O$202/$S$203)/(M208^$S$202)))/$T$202)</f>
        <v>2.577441511017151</v>
      </c>
      <c r="T208"/>
    </row>
    <row r="209" spans="2:20" ht="0.75" customHeight="1">
      <c r="B209" s="96">
        <f aca="true" t="shared" si="18" ref="B209:B232">B208+$D$204</f>
        <v>6.040084954917958</v>
      </c>
      <c r="C209" s="113">
        <f>IF((($C$202-B209*$F$94)/$F$95)&lt;0,0,(($C$202-B209*$F$94)/$F$95))</f>
        <v>8.214643822418873</v>
      </c>
      <c r="D209" s="96">
        <f aca="true" t="shared" si="19" ref="D209:D232">EXP((LN(($D$202/$H$203)/(B209^$H$202)))/$I$202)</f>
        <v>9.304605576448845</v>
      </c>
      <c r="M209" s="96">
        <f aca="true" t="shared" si="20" ref="M209:M232">M208+$O$204</f>
        <v>3.08180201043</v>
      </c>
      <c r="N209" s="113">
        <f>IF((($N$202-M209*$Q$94)/$Q$95)&lt;0,0,(($N$202-M209*$Q$94)/$Q$95))</f>
        <v>2.094212088742597</v>
      </c>
      <c r="O209" s="96">
        <f aca="true" t="shared" si="21" ref="O209:O232">EXP((LN(($O$202/$S$203)/(M209^$S$202)))/$T$202)</f>
        <v>2.1673613271404397</v>
      </c>
      <c r="T209"/>
    </row>
    <row r="210" spans="2:20" ht="0.75" customHeight="1">
      <c r="B210" s="96">
        <f t="shared" si="18"/>
        <v>9.060127432376937</v>
      </c>
      <c r="C210" s="113">
        <f>IF((($C$202-B210*$F$94)/$F$95)&lt;0,0,(($C$202-B210*$F$94)/$F$95))</f>
        <v>7.761637450800025</v>
      </c>
      <c r="D210" s="96">
        <f t="shared" si="19"/>
        <v>8.12832166366214</v>
      </c>
      <c r="M210" s="96">
        <f t="shared" si="20"/>
        <v>4.622703015645</v>
      </c>
      <c r="N210" s="113">
        <f>IF((($N$202-M210*$Q$94)/$Q$95)&lt;0,0,(($N$202-M210*$Q$94)/$Q$95))</f>
        <v>1.954130179177597</v>
      </c>
      <c r="O210" s="96">
        <f t="shared" si="21"/>
        <v>1.9584320377505935</v>
      </c>
      <c r="T210"/>
    </row>
    <row r="211" spans="2:20" ht="0.75" customHeight="1">
      <c r="B211" s="96">
        <f t="shared" si="18"/>
        <v>12.080169909835917</v>
      </c>
      <c r="C211" s="113">
        <f>IF((($C$202-B211*$F$94)/$F$95)&lt;0,0,(($C$202-B211*$F$94)/$F$95))</f>
        <v>7.308631079181178</v>
      </c>
      <c r="D211" s="96">
        <f t="shared" si="19"/>
        <v>7.385070340102035</v>
      </c>
      <c r="M211" s="96">
        <f t="shared" si="20"/>
        <v>6.16360402086</v>
      </c>
      <c r="N211" s="113">
        <f>IF((($N$202-M211*$Q$94)/$Q$95)&lt;0,0,(($N$202-M211*$Q$94)/$Q$95))</f>
        <v>1.814048269612597</v>
      </c>
      <c r="O211" s="96">
        <f t="shared" si="21"/>
        <v>1.822526370551929</v>
      </c>
      <c r="T211"/>
    </row>
    <row r="212" spans="2:20" ht="0.75" customHeight="1">
      <c r="B212" s="96">
        <f t="shared" si="18"/>
        <v>15.100212387294896</v>
      </c>
      <c r="C212" s="113">
        <f>IF((($C$202-B212*$F$94)/$F$95)&lt;0,0,(($C$202-B212*$F$94)/$F$95))</f>
        <v>6.855624707562332</v>
      </c>
      <c r="D212" s="96">
        <f t="shared" si="19"/>
        <v>6.855692005212507</v>
      </c>
      <c r="M212" s="96">
        <f t="shared" si="20"/>
        <v>7.704505026075</v>
      </c>
      <c r="N212" s="113">
        <f>IF((($N$202-M212*$Q$94)/$Q$95)&lt;0,0,(($N$202-M212*$Q$94)/$Q$95))</f>
        <v>1.6739663600475971</v>
      </c>
      <c r="O212" s="96">
        <f t="shared" si="21"/>
        <v>1.7236390221364992</v>
      </c>
      <c r="T212"/>
    </row>
    <row r="213" spans="2:20" ht="0.75" customHeight="1">
      <c r="B213" s="96">
        <f t="shared" si="18"/>
        <v>18.120254864753875</v>
      </c>
      <c r="C213" s="113">
        <f>IF((($C$202-B213*$F$94)/$F$95)&lt;0,0,(($C$202-B213*$F$94)/$F$95))</f>
        <v>6.402618335943484</v>
      </c>
      <c r="D213" s="96">
        <f t="shared" si="19"/>
        <v>6.451453179816591</v>
      </c>
      <c r="M213" s="96">
        <f t="shared" si="20"/>
        <v>9.24540603129</v>
      </c>
      <c r="N213" s="113">
        <f>IF((($N$202-M213*$Q$94)/$Q$95)&lt;0,0,(($N$202-M213*$Q$94)/$Q$95))</f>
        <v>1.5338844504825968</v>
      </c>
      <c r="O213" s="96">
        <f t="shared" si="21"/>
        <v>1.6468384800625013</v>
      </c>
      <c r="T213"/>
    </row>
    <row r="214" spans="2:20" ht="0.75" customHeight="1">
      <c r="B214" s="96">
        <f t="shared" si="18"/>
        <v>21.140297342212854</v>
      </c>
      <c r="C214" s="113">
        <f>IF((($C$202-B214*$F$94)/$F$95)&lt;0,0,(($C$202-B214*$F$94)/$F$95))</f>
        <v>5.949611964324637</v>
      </c>
      <c r="D214" s="96">
        <f t="shared" si="19"/>
        <v>6.128327318992737</v>
      </c>
      <c r="M214" s="96">
        <f t="shared" si="20"/>
        <v>10.786307036505</v>
      </c>
      <c r="N214" s="113">
        <f>IF((($N$202-M214*$Q$94)/$Q$95)&lt;0,0,(($N$202-M214*$Q$94)/$Q$95))</f>
        <v>1.393802540917597</v>
      </c>
      <c r="O214" s="96">
        <f t="shared" si="21"/>
        <v>1.58458050589815</v>
      </c>
      <c r="T214"/>
    </row>
    <row r="215" spans="2:20" ht="0.75" customHeight="1">
      <c r="B215" s="96">
        <f t="shared" si="18"/>
        <v>24.160339819671833</v>
      </c>
      <c r="C215" s="113">
        <f>IF((($C$202-B215*$F$94)/$F$95)&lt;0,0,(($C$202-B215*$F$94)/$F$95))</f>
        <v>5.496605592705791</v>
      </c>
      <c r="D215" s="96">
        <f t="shared" si="19"/>
        <v>5.861534213368559</v>
      </c>
      <c r="M215" s="96">
        <f t="shared" si="20"/>
        <v>12.32720804172</v>
      </c>
      <c r="N215" s="113">
        <f>IF((($N$202-M215*$Q$94)/$Q$95)&lt;0,0,(($N$202-M215*$Q$94)/$Q$95))</f>
        <v>1.253720631352597</v>
      </c>
      <c r="O215" s="96">
        <f t="shared" si="21"/>
        <v>1.5325558917024802</v>
      </c>
      <c r="T215"/>
    </row>
    <row r="216" spans="2:20" ht="0.75" customHeight="1">
      <c r="B216" s="96">
        <f t="shared" si="18"/>
        <v>27.180382297130812</v>
      </c>
      <c r="C216" s="113">
        <f>IF((($C$202-B216*$F$94)/$F$95)&lt;0,0,(($C$202-B216*$F$94)/$F$95))</f>
        <v>5.043599221086945</v>
      </c>
      <c r="D216" s="96">
        <f t="shared" si="19"/>
        <v>5.635863467048651</v>
      </c>
      <c r="M216" s="96">
        <f t="shared" si="20"/>
        <v>13.868109046935</v>
      </c>
      <c r="N216" s="113">
        <f>IF((($N$202-M216*$Q$94)/$Q$95)&lt;0,0,(($N$202-M216*$Q$94)/$Q$95))</f>
        <v>1.113638721787597</v>
      </c>
      <c r="O216" s="96">
        <f t="shared" si="21"/>
        <v>1.4880865502062681</v>
      </c>
      <c r="T216"/>
    </row>
    <row r="217" spans="2:20" ht="0.75" customHeight="1">
      <c r="B217" s="96">
        <f t="shared" si="18"/>
        <v>30.20042477458979</v>
      </c>
      <c r="C217" s="113">
        <f>IF((($C$202-B217*$F$94)/$F$95)&lt;0,0,(($C$202-B217*$F$94)/$F$95))</f>
        <v>4.590592849468097</v>
      </c>
      <c r="D217" s="96">
        <f t="shared" si="19"/>
        <v>5.441366350522154</v>
      </c>
      <c r="M217" s="96">
        <f t="shared" si="20"/>
        <v>15.40901005215</v>
      </c>
      <c r="N217" s="113">
        <f>IF((($N$202-M217*$Q$94)/$Q$95)&lt;0,0,(($N$202-M217*$Q$94)/$Q$95))</f>
        <v>0.973556812222597</v>
      </c>
      <c r="O217" s="96">
        <f t="shared" si="21"/>
        <v>1.449401874906</v>
      </c>
      <c r="T217"/>
    </row>
    <row r="218" spans="2:20" ht="0.75" customHeight="1">
      <c r="B218" s="96">
        <f t="shared" si="18"/>
        <v>33.22046725204877</v>
      </c>
      <c r="C218" s="113">
        <f>IF((($C$202-B218*$F$94)/$F$95)&lt;0,0,(($C$202-B218*$F$94)/$F$95))</f>
        <v>4.13758647784925</v>
      </c>
      <c r="D218" s="96">
        <f t="shared" si="19"/>
        <v>5.271211049257252</v>
      </c>
      <c r="M218" s="96">
        <f t="shared" si="20"/>
        <v>16.949911057365</v>
      </c>
      <c r="N218" s="113">
        <f>IF((($N$202-M218*$Q$94)/$Q$95)&lt;0,0,(($N$202-M218*$Q$94)/$Q$95))</f>
        <v>0.833474902657597</v>
      </c>
      <c r="O218" s="96">
        <f t="shared" si="21"/>
        <v>1.415274388336476</v>
      </c>
      <c r="T218"/>
    </row>
    <row r="219" spans="2:20" ht="0.75" customHeight="1">
      <c r="B219" s="96">
        <f t="shared" si="18"/>
        <v>36.24050972950775</v>
      </c>
      <c r="C219" s="113">
        <f>IF((($C$202-B219*$F$94)/$F$95)&lt;0,0,(($C$202-B219*$F$94)/$F$95))</f>
        <v>3.6845801062304036</v>
      </c>
      <c r="D219" s="96">
        <f t="shared" si="19"/>
        <v>5.120521782182223</v>
      </c>
      <c r="M219" s="96">
        <f t="shared" si="20"/>
        <v>18.49081206258</v>
      </c>
      <c r="N219" s="113">
        <f>IF((($N$202-M219*$Q$94)/$Q$95)&lt;0,0,(($N$202-M219*$Q$94)/$Q$95))</f>
        <v>0.6933929930925968</v>
      </c>
      <c r="O219" s="96">
        <f t="shared" si="21"/>
        <v>1.3848205743864332</v>
      </c>
      <c r="T219"/>
    </row>
    <row r="220" spans="2:20" ht="0.75" customHeight="1">
      <c r="B220" s="96">
        <f t="shared" si="18"/>
        <v>39.26055220696673</v>
      </c>
      <c r="C220" s="113">
        <f>IF((($C$202-B220*$F$94)/$F$95)&lt;0,0,(($C$202-B220*$F$94)/$F$95))</f>
        <v>3.231573734611557</v>
      </c>
      <c r="D220" s="96">
        <f t="shared" si="19"/>
        <v>4.985708112059862</v>
      </c>
      <c r="M220" s="96">
        <f t="shared" si="20"/>
        <v>20.031713067795003</v>
      </c>
      <c r="N220" s="113">
        <f>IF((($N$202-M220*$Q$94)/$Q$95)&lt;0,0,(($N$202-M220*$Q$94)/$Q$95))</f>
        <v>0.5533110835275966</v>
      </c>
      <c r="O220" s="96">
        <f t="shared" si="21"/>
        <v>1.3573847970174182</v>
      </c>
      <c r="T220"/>
    </row>
    <row r="221" spans="2:20" ht="0.75" customHeight="1">
      <c r="B221" s="96">
        <f t="shared" si="18"/>
        <v>42.28059468442571</v>
      </c>
      <c r="C221" s="113">
        <f>IF((($C$202-B221*$F$94)/$F$95)&lt;0,0,(($C$202-B221*$F$94)/$F$95))</f>
        <v>2.7785673629927095</v>
      </c>
      <c r="D221" s="96">
        <f t="shared" si="19"/>
        <v>4.864056616487262</v>
      </c>
      <c r="M221" s="96">
        <f t="shared" si="20"/>
        <v>21.572614073010005</v>
      </c>
      <c r="N221" s="113">
        <f>IF((($N$202-M221*$Q$94)/$Q$95)&lt;0,0,(($N$202-M221*$Q$94)/$Q$95))</f>
        <v>0.41322917396259673</v>
      </c>
      <c r="O221" s="96">
        <f t="shared" si="21"/>
        <v>1.3324680670906717</v>
      </c>
      <c r="T221"/>
    </row>
    <row r="222" spans="2:20" ht="0.75" customHeight="1">
      <c r="B222" s="96">
        <f t="shared" si="18"/>
        <v>45.30063716188469</v>
      </c>
      <c r="C222" s="113">
        <f>IF((($C$202-B222*$F$94)/$F$95)&lt;0,0,(($C$202-B222*$F$94)/$F$95))</f>
        <v>2.3255609913738624</v>
      </c>
      <c r="D222" s="96">
        <f t="shared" si="19"/>
        <v>4.753471345289602</v>
      </c>
      <c r="M222" s="96">
        <f t="shared" si="20"/>
        <v>23.113515078225007</v>
      </c>
      <c r="N222" s="113">
        <f>IF((($N$202-M222*$Q$94)/$Q$95)&lt;0,0,(($N$202-M222*$Q$94)/$Q$95))</f>
        <v>0.2731472643975965</v>
      </c>
      <c r="O222" s="96">
        <f t="shared" si="21"/>
        <v>1.3096824382009276</v>
      </c>
      <c r="T222"/>
    </row>
    <row r="223" spans="2:20" ht="0.75" customHeight="1">
      <c r="B223" s="96">
        <f t="shared" si="18"/>
        <v>48.320679639343666</v>
      </c>
      <c r="C223" s="113">
        <f>IF((($C$202-B223*$F$94)/$F$95)&lt;0,0,(($C$202-B223*$F$94)/$F$95))</f>
        <v>1.8725546197550158</v>
      </c>
      <c r="D223" s="96">
        <f t="shared" si="19"/>
        <v>4.6523027882244214</v>
      </c>
      <c r="M223" s="96">
        <f t="shared" si="20"/>
        <v>24.654416083440008</v>
      </c>
      <c r="N223" s="113">
        <f>IF((($N$202-M223*$Q$94)/$Q$95)&lt;0,0,(($N$202-M223*$Q$94)/$Q$95))</f>
        <v>0.1330653548325963</v>
      </c>
      <c r="O223" s="96">
        <f t="shared" si="21"/>
        <v>1.2887207555085753</v>
      </c>
      <c r="T223"/>
    </row>
    <row r="224" spans="2:20" ht="0.75" customHeight="1">
      <c r="B224" s="96">
        <f t="shared" si="18"/>
        <v>51.340722116802645</v>
      </c>
      <c r="C224" s="113">
        <f>IF((($C$202-B224*$F$94)/$F$95)&lt;0,0,(($C$202-B224*$F$94)/$F$95))</f>
        <v>1.4195482481361694</v>
      </c>
      <c r="D224" s="96">
        <f t="shared" si="19"/>
        <v>4.559231656823738</v>
      </c>
      <c r="M224" s="96">
        <f t="shared" si="20"/>
        <v>26.19531708865501</v>
      </c>
      <c r="N224" s="113">
        <f>IF((($N$202-M224*$Q$94)/$Q$95)&lt;0,0,(($N$202-M224*$Q$94)/$Q$95))</f>
        <v>0</v>
      </c>
      <c r="O224" s="96">
        <f t="shared" si="21"/>
        <v>1.2693359738534797</v>
      </c>
      <c r="T224"/>
    </row>
    <row r="225" spans="2:20" ht="0.75" customHeight="1">
      <c r="B225" s="96">
        <f t="shared" si="18"/>
        <v>54.360764594261624</v>
      </c>
      <c r="C225" s="113">
        <f>IF((($C$202-B225*$F$94)/$F$95)&lt;0,0,(($C$202-B225*$F$94)/$F$95))</f>
        <v>0.9665418765173228</v>
      </c>
      <c r="D225" s="96">
        <f t="shared" si="19"/>
        <v>4.473187798171088</v>
      </c>
      <c r="M225" s="96">
        <f t="shared" si="20"/>
        <v>27.73621809387001</v>
      </c>
      <c r="N225" s="113">
        <f>IF((($N$202-M225*$Q$94)/$Q$95)&lt;0,0,(($N$202-M225*$Q$94)/$Q$95))</f>
        <v>0</v>
      </c>
      <c r="O225" s="96">
        <f t="shared" si="21"/>
        <v>1.251326645655717</v>
      </c>
      <c r="T225"/>
    </row>
    <row r="226" spans="2:20" ht="0.75" customHeight="1">
      <c r="B226" s="96">
        <f t="shared" si="18"/>
        <v>57.380807071720604</v>
      </c>
      <c r="C226" s="113">
        <f>IF((($C$202-B226*$F$94)/$F$95)&lt;0,0,(($C$202-B226*$F$94)/$F$95))</f>
        <v>0.5135355048984749</v>
      </c>
      <c r="D226" s="96">
        <f t="shared" si="19"/>
        <v>4.393292303784922</v>
      </c>
      <c r="M226" s="96">
        <f t="shared" si="20"/>
        <v>29.277119099085013</v>
      </c>
      <c r="N226" s="113">
        <f>IF((($N$202-M226*$Q$94)/$Q$95)&lt;0,0,(($N$202-M226*$Q$94)/$Q$95))</f>
        <v>0</v>
      </c>
      <c r="O226" s="96">
        <f t="shared" si="21"/>
        <v>1.2345265049006495</v>
      </c>
      <c r="T226"/>
    </row>
    <row r="227" spans="2:20" ht="0.75" customHeight="1">
      <c r="B227" s="96">
        <f t="shared" si="18"/>
        <v>60.40084954917958</v>
      </c>
      <c r="C227" s="113">
        <f>IF((($C$202-B227*$F$94)/$F$95)&lt;0,0,(($C$202-B227*$F$94)/$F$95))</f>
        <v>0.06052913327962841</v>
      </c>
      <c r="D227" s="96">
        <f t="shared" si="19"/>
        <v>4.318815334481614</v>
      </c>
      <c r="M227" s="96">
        <f t="shared" si="20"/>
        <v>30.818020104300015</v>
      </c>
      <c r="N227" s="113">
        <f>IF((($N$202-M227*$Q$94)/$Q$95)&lt;0,0,(($N$202-M227*$Q$94)/$Q$95))</f>
        <v>0</v>
      </c>
      <c r="O227" s="96">
        <f t="shared" si="21"/>
        <v>1.2187968408704681</v>
      </c>
      <c r="T227"/>
    </row>
    <row r="228" spans="2:20" ht="0.75" customHeight="1">
      <c r="B228" s="96">
        <f t="shared" si="18"/>
        <v>63.42089202663856</v>
      </c>
      <c r="C228" s="113">
        <f>IF((($C$202-B228*$F$94)/$F$95)&lt;0,0,(($C$202-B228*$F$94)/$F$95))</f>
        <v>0</v>
      </c>
      <c r="D228" s="96">
        <f t="shared" si="19"/>
        <v>4.249144839534612</v>
      </c>
      <c r="M228" s="96">
        <f t="shared" si="20"/>
        <v>32.358921109515016</v>
      </c>
      <c r="N228" s="113">
        <f>IF((($N$202-M228*$Q$94)/$Q$95)&lt;0,0,(($N$202-M228*$Q$94)/$Q$95))</f>
        <v>0</v>
      </c>
      <c r="O228" s="96">
        <f t="shared" si="21"/>
        <v>1.2040208151692682</v>
      </c>
      <c r="T228"/>
    </row>
    <row r="229" spans="2:20" ht="0.75" customHeight="1">
      <c r="B229" s="96">
        <f t="shared" si="18"/>
        <v>66.44093450409754</v>
      </c>
      <c r="C229" s="113">
        <f>IF((($C$202-B229*$F$94)/$F$95)&lt;0,0,(($C$202-B229*$F$94)/$F$95))</f>
        <v>0</v>
      </c>
      <c r="D229" s="96">
        <f t="shared" si="19"/>
        <v>4.183762982368679</v>
      </c>
      <c r="M229" s="96">
        <f t="shared" si="20"/>
        <v>33.899822114730014</v>
      </c>
      <c r="N229" s="113">
        <f>IF((($N$202-M229*$Q$94)/$Q$95)&lt;0,0,(($N$202-M229*$Q$94)/$Q$95))</f>
        <v>0</v>
      </c>
      <c r="O229" s="96">
        <f t="shared" si="21"/>
        <v>1.1900991597525359</v>
      </c>
      <c r="T229"/>
    </row>
    <row r="230" spans="2:20" ht="0.75" customHeight="1">
      <c r="B230" s="96">
        <f t="shared" si="18"/>
        <v>69.46097698155651</v>
      </c>
      <c r="C230" s="113">
        <f>IF((($C$202-B230*$F$94)/$F$95)&lt;0,0,(($C$202-B230*$F$94)/$F$95))</f>
        <v>0</v>
      </c>
      <c r="D230" s="96">
        <f t="shared" si="19"/>
        <v>4.122228117487056</v>
      </c>
      <c r="M230" s="96">
        <f t="shared" si="20"/>
        <v>35.44072311994501</v>
      </c>
      <c r="N230" s="113">
        <f>IF((($N$202-M230*$Q$94)/$Q$95)&lt;0,0,(($N$202-M230*$Q$94)/$Q$95))</f>
        <v>0</v>
      </c>
      <c r="O230" s="96">
        <f t="shared" si="21"/>
        <v>1.1769468740721765</v>
      </c>
      <c r="T230"/>
    </row>
    <row r="231" spans="2:20" ht="0.75" customHeight="1">
      <c r="B231" s="96">
        <f t="shared" si="18"/>
        <v>72.4810194590155</v>
      </c>
      <c r="C231" s="113">
        <f>IF((($C$202-B231*$F$94)/$F$95)&lt;0,0,(($C$202-B231*$F$94)/$F$95))</f>
        <v>0</v>
      </c>
      <c r="D231" s="96">
        <f t="shared" si="19"/>
        <v>4.064160831831069</v>
      </c>
      <c r="M231" s="96">
        <f t="shared" si="20"/>
        <v>36.98162412516001</v>
      </c>
      <c r="N231" s="113">
        <f>IF((($N$202-M231*$Q$94)/$Q$95)&lt;0,0,(($N$202-M231*$Q$94)/$Q$95))</f>
        <v>0</v>
      </c>
      <c r="O231" s="96">
        <f t="shared" si="21"/>
        <v>1.1644906567711413</v>
      </c>
      <c r="T231"/>
    </row>
    <row r="232" spans="2:20" ht="0.75" customHeight="1">
      <c r="B232" s="96">
        <f t="shared" si="18"/>
        <v>75.50106193647449</v>
      </c>
      <c r="C232" s="113">
        <f>IF((($C$202-B232*$F$94)/$F$95)&lt;0,0,(($C$202-B232*$F$94)/$F$95))</f>
        <v>0</v>
      </c>
      <c r="D232" s="96">
        <f t="shared" si="19"/>
        <v>4.0092330061931</v>
      </c>
      <c r="M232" s="96">
        <f t="shared" si="20"/>
        <v>38.52252513037501</v>
      </c>
      <c r="N232" s="113">
        <f>IF((($N$202-M232*$Q$94)/$Q$95)&lt;0,0,(($N$202-M232*$Q$94)/$Q$95))</f>
        <v>0</v>
      </c>
      <c r="O232" s="96">
        <f t="shared" si="21"/>
        <v>1.1526668853328241</v>
      </c>
      <c r="T232"/>
    </row>
    <row r="233" ht="13.5">
      <c r="T233"/>
    </row>
    <row r="234" ht="13.5">
      <c r="T234"/>
    </row>
    <row r="235" ht="13.5">
      <c r="T235"/>
    </row>
  </sheetData>
  <printOptions/>
  <pageMargins left="0.35" right="0.35" top="0.7" bottom="0.7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2001-03-13T21:58:19Z</cp:lastPrinted>
  <dcterms:created xsi:type="dcterms:W3CDTF">1998-11-04T15:28:32Z</dcterms:created>
  <cp:category/>
  <cp:version/>
  <cp:contentType/>
  <cp:contentStatus/>
</cp:coreProperties>
</file>