
<file path=[Content_Types].xml><?xml version="1.0" encoding="utf-8"?>
<Types xmlns="http://schemas.openxmlformats.org/package/2006/content-types">
  <Default Extension="bin" ContentType="application/vnd.openxmlformats-officedocument.oleObject"/>
  <Default Extension="pict" ContentType="image/pict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8"/>
  <workbookPr date1904="1"/>
  <mc:AlternateContent xmlns:mc="http://schemas.openxmlformats.org/markup-compatibility/2006">
    <mc:Choice Requires="x15">
      <x15ac:absPath xmlns:x15ac="http://schemas.microsoft.com/office/spreadsheetml/2010/11/ac" url="/Users/PhillipLeBel/Desktop/"/>
    </mc:Choice>
  </mc:AlternateContent>
  <xr:revisionPtr revIDLastSave="0" documentId="8_{A77DB1F9-D85D-0A44-A3F6-2B2D3DC3675F}" xr6:coauthVersionLast="45" xr6:coauthVersionMax="45" xr10:uidLastSave="{00000000-0000-0000-0000-000000000000}"/>
  <bookViews>
    <workbookView xWindow="80" yWindow="1240" windowWidth="23180" windowHeight="14800" tabRatio="22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4" i="1" l="1"/>
  <c r="F110" i="1"/>
  <c r="H110" i="1"/>
  <c r="F102" i="1"/>
  <c r="H10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F134" i="1"/>
  <c r="F111" i="1"/>
  <c r="H111" i="1"/>
  <c r="F103" i="1"/>
  <c r="H10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G134" i="1"/>
  <c r="F112" i="1"/>
  <c r="H112" i="1"/>
  <c r="F104" i="1"/>
  <c r="H10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H134" i="1"/>
  <c r="F113" i="1"/>
  <c r="H113" i="1"/>
  <c r="F105" i="1"/>
  <c r="H10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I134" i="1"/>
  <c r="E133" i="1"/>
  <c r="I133" i="1"/>
  <c r="H133" i="1"/>
  <c r="G133" i="1"/>
  <c r="F133" i="1"/>
  <c r="E132" i="1"/>
  <c r="I132" i="1"/>
  <c r="H132" i="1"/>
  <c r="G132" i="1"/>
  <c r="F132" i="1"/>
  <c r="E131" i="1"/>
  <c r="I131" i="1"/>
  <c r="H131" i="1"/>
  <c r="G131" i="1"/>
  <c r="F131" i="1"/>
  <c r="E130" i="1"/>
  <c r="I130" i="1"/>
  <c r="H130" i="1"/>
  <c r="G130" i="1"/>
  <c r="F130" i="1"/>
  <c r="E129" i="1"/>
  <c r="I129" i="1"/>
  <c r="H129" i="1"/>
  <c r="G129" i="1"/>
  <c r="F129" i="1"/>
  <c r="D127" i="1"/>
  <c r="F42" i="1"/>
  <c r="F33" i="1"/>
  <c r="I56" i="1"/>
  <c r="H56" i="1"/>
  <c r="G56" i="1"/>
  <c r="F56" i="1"/>
  <c r="E56" i="1"/>
  <c r="F45" i="1"/>
  <c r="F36" i="1"/>
  <c r="F44" i="1"/>
  <c r="F35" i="1"/>
  <c r="F43" i="1"/>
  <c r="F34" i="1"/>
  <c r="H42" i="1"/>
  <c r="H33" i="1"/>
  <c r="F119" i="1"/>
  <c r="F118" i="1"/>
  <c r="F117" i="1"/>
  <c r="F116" i="1"/>
  <c r="E119" i="1"/>
  <c r="G119" i="1"/>
  <c r="E118" i="1"/>
  <c r="G118" i="1"/>
  <c r="E117" i="1"/>
  <c r="G117" i="1"/>
  <c r="E116" i="1"/>
  <c r="G116" i="1"/>
  <c r="E59" i="1"/>
  <c r="F59" i="1"/>
  <c r="G59" i="1"/>
  <c r="H59" i="1"/>
  <c r="I59" i="1"/>
  <c r="J59" i="1"/>
  <c r="E68" i="1"/>
  <c r="I68" i="1"/>
  <c r="E58" i="1"/>
  <c r="F58" i="1"/>
  <c r="G58" i="1"/>
  <c r="H58" i="1"/>
  <c r="I58" i="1"/>
  <c r="J58" i="1"/>
  <c r="H68" i="1"/>
  <c r="E57" i="1"/>
  <c r="F57" i="1"/>
  <c r="G57" i="1"/>
  <c r="H57" i="1"/>
  <c r="I57" i="1"/>
  <c r="J57" i="1"/>
  <c r="G68" i="1"/>
  <c r="J56" i="1"/>
  <c r="F68" i="1"/>
  <c r="E67" i="1"/>
  <c r="I67" i="1"/>
  <c r="H67" i="1"/>
  <c r="G67" i="1"/>
  <c r="F67" i="1"/>
  <c r="E66" i="1"/>
  <c r="I66" i="1"/>
  <c r="H66" i="1"/>
  <c r="G66" i="1"/>
  <c r="F66" i="1"/>
  <c r="E65" i="1"/>
  <c r="I65" i="1"/>
  <c r="H65" i="1"/>
  <c r="G65" i="1"/>
  <c r="F65" i="1"/>
  <c r="E64" i="1"/>
  <c r="I64" i="1"/>
  <c r="H64" i="1"/>
  <c r="G64" i="1"/>
  <c r="F64" i="1"/>
  <c r="D62" i="1"/>
  <c r="D55" i="1"/>
  <c r="H45" i="1"/>
  <c r="F52" i="1"/>
  <c r="H36" i="1"/>
  <c r="E52" i="1"/>
  <c r="G52" i="1"/>
  <c r="H44" i="1"/>
  <c r="F51" i="1"/>
  <c r="H35" i="1"/>
  <c r="E51" i="1"/>
  <c r="G51" i="1"/>
  <c r="H43" i="1"/>
  <c r="F50" i="1"/>
  <c r="H34" i="1"/>
  <c r="E50" i="1"/>
  <c r="G50" i="1"/>
  <c r="F49" i="1"/>
  <c r="E49" i="1"/>
  <c r="G49" i="1"/>
  <c r="G20" i="1"/>
  <c r="H20" i="1"/>
  <c r="G19" i="1"/>
  <c r="H19" i="1"/>
  <c r="G18" i="1"/>
  <c r="H18" i="1"/>
  <c r="G17" i="1"/>
  <c r="H17" i="1"/>
</calcChain>
</file>

<file path=xl/sharedStrings.xml><?xml version="1.0" encoding="utf-8"?>
<sst xmlns="http://schemas.openxmlformats.org/spreadsheetml/2006/main" count="174" uniqueCount="81">
  <si>
    <t xml:space="preserve">d'intérêt qu'il faut appliquer serait augmenté aux prêts ultérieurs en fonction  </t>
  </si>
  <si>
    <t xml:space="preserve">du niveau de risque perçu par le bailleur de fonds.  La perspective du prêteur </t>
  </si>
  <si>
    <t xml:space="preserve">est la valeur espérée des paiements, qui, dans certains circonstances, </t>
  </si>
  <si>
    <t>aboutit d'éponger une partie des dettes.</t>
  </si>
  <si>
    <t>S'il vaut la peine de refinancer un prêt dépend en partie de la valeur actuelle de la</t>
  </si>
  <si>
    <t>somme des paiements annuels face aux frais de commission d'un refinancement.</t>
  </si>
  <si>
    <t>Plus élévés soit les frais et moins soit la différence du taux ancien et le taux actuel</t>
  </si>
  <si>
    <t>d'un nouveau prêt, moins sera le gain potential d'un refinancement.</t>
  </si>
  <si>
    <t>Dans le cadre de l'analyse financière d'un projet, il faut d'abord déterminer la proportion des dépenses nette</t>
  </si>
  <si>
    <t>de la première année qui peuvent être financé d'un prêt.  La capacité de financement d'un prêt est en fonction de</t>
  </si>
  <si>
    <t xml:space="preserve">la taille du prêt de son échéance, et du taux d'intérêt visé sur le prêt.  </t>
  </si>
  <si>
    <t>Ré-echelonnement de la dette</t>
  </si>
  <si>
    <t>Il arrive des fois que les dérapages d'exécution des projets créent des carences en la création des revenus,</t>
  </si>
  <si>
    <t>soient des recettes fiscales, afin d'amortir un prêt, d'où l'origine de tels "clubs" comme ceux de Paris et de Londres.</t>
  </si>
  <si>
    <t>Une fonction fondamentale de tels clubs est le ré-echelonnement de la dette, soit l'éponge d'un niveau de la dette.</t>
  </si>
  <si>
    <t>Nous traitons ici de ces questions.</t>
  </si>
  <si>
    <t>Nouveau prêt ré-echelonné</t>
  </si>
  <si>
    <t>VA</t>
  </si>
  <si>
    <t xml:space="preserve">En plus de la conclusion dans la partie 2, nous voyons qu'il y a une différence positive </t>
  </si>
  <si>
    <t>entre le montant total des paiements et le montant du prêt ré-echelonné.</t>
  </si>
  <si>
    <t>S'il y a un avantage à l'emprunteur, c'est que la valeur actuelle des différences</t>
  </si>
  <si>
    <t>porte un gain.  Ce qui n'est pas ventilé dans cette comparison, c'est si le taux</t>
  </si>
  <si>
    <t>Le refinancement d'un prêt dépend de deux considérations:  la différence entre le taux initial</t>
  </si>
  <si>
    <t>d'intérêt et le nouveau taux, et des frais de refinancement.  Le test pertinent est la valeur actuelle</t>
  </si>
  <si>
    <t>par an</t>
  </si>
  <si>
    <t>Valeur actuelle du prêt:</t>
  </si>
  <si>
    <t>Nombre des années, n:</t>
  </si>
  <si>
    <t>Le Taux d'intérêt</t>
  </si>
  <si>
    <t>La Fréquence annuelle</t>
  </si>
  <si>
    <t>Exemple:</t>
  </si>
  <si>
    <t>deux fois par an</t>
  </si>
  <si>
    <t>quatre fois par an</t>
  </si>
  <si>
    <t xml:space="preserve"> mensualité, ou douze fois par an</t>
  </si>
  <si>
    <t>des échéances avec le nouveau taux contre le coût d'opportunité des frais de refinancement.</t>
  </si>
  <si>
    <t>Prêt original</t>
  </si>
  <si>
    <t>Valeur actuelle du prêt</t>
  </si>
  <si>
    <t>Nombre des années, n</t>
  </si>
  <si>
    <t xml:space="preserve">        Ventilation du prêt original</t>
  </si>
  <si>
    <t xml:space="preserve">    Paiement périodique</t>
  </si>
  <si>
    <t>Le Total par an</t>
  </si>
  <si>
    <t>2 fois</t>
  </si>
  <si>
    <t xml:space="preserve">4 fois </t>
  </si>
  <si>
    <t>12 fois</t>
  </si>
  <si>
    <t>Nouveau prêt</t>
  </si>
  <si>
    <t>Taux des frais de commission:</t>
  </si>
  <si>
    <t>Frais</t>
  </si>
  <si>
    <t>Différence</t>
  </si>
  <si>
    <t>Total Original</t>
  </si>
  <si>
    <t>Total Nouveau</t>
  </si>
  <si>
    <t>A.</t>
  </si>
  <si>
    <t>B.</t>
  </si>
  <si>
    <t xml:space="preserve">       Ventilation du nouveau prêt</t>
  </si>
  <si>
    <t>C.</t>
  </si>
  <si>
    <t>D.</t>
  </si>
  <si>
    <t>P. LeBel</t>
  </si>
  <si>
    <t>©2008</t>
  </si>
  <si>
    <t>Tableau de comparaison du montant total des paiements</t>
  </si>
  <si>
    <t>(Van Horne, 1989, p. 63)</t>
  </si>
  <si>
    <t>L'Amortissement d'un prêt ordinaire (soit le paiement périodique, ou PMT)</t>
  </si>
  <si>
    <t>Il y a certains prêts qui exigenet le remboursement de l'intéret et le principal dans une série</t>
  </si>
  <si>
    <t>des paiements standardisés.  Des exemples comprennent des hypothèques, des</t>
  </si>
  <si>
    <t>prêts sur les véhicules, et quelques prêts aux affaires.  La détermination des annuités,</t>
  </si>
  <si>
    <t>ou des paiements périodiques est basée sur la solution de l'équation suivante:</t>
  </si>
  <si>
    <t>d'où:</t>
  </si>
  <si>
    <t>m = la fréquence des paiements pendant une année</t>
  </si>
  <si>
    <t>r = le taux annuel d'intérêt</t>
  </si>
  <si>
    <t>n = le nombre des paiements périodiques</t>
  </si>
  <si>
    <t>VA = La valeur actuelle du prêt</t>
  </si>
  <si>
    <t>Paiement</t>
  </si>
  <si>
    <t>Périodique</t>
  </si>
  <si>
    <t>Total</t>
  </si>
  <si>
    <t>Refinancer un prêt</t>
  </si>
  <si>
    <t>Le Calcul des Paiements d'un prêt</t>
  </si>
  <si>
    <t>Tableau de la valeur annuelle actualisée de la différence des paiements annualisés</t>
  </si>
  <si>
    <t>Taux d'intérêt</t>
  </si>
  <si>
    <t>Valeur Actuelle</t>
  </si>
  <si>
    <t>E.</t>
  </si>
  <si>
    <t>Tableau d'évaluation sur la différence nette de la valeur actuelle des paiements</t>
  </si>
  <si>
    <t>Principal</t>
  </si>
  <si>
    <t>(Des Valeurs négatives réprésentent un gain positif)</t>
  </si>
  <si>
    <t>Conclusion: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</si>
</sst>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7" formatCode="0.\ "/>
    <numFmt numFmtId="169" formatCode="###\ ###"/>
  </numFmts>
  <fonts count="10">
    <font>
      <sz val="12"/>
      <name val="Helv"/>
    </font>
    <font>
      <b/>
      <sz val="12"/>
      <name val="Helv"/>
    </font>
    <font>
      <sz val="12"/>
      <name val="Helv"/>
    </font>
    <font>
      <sz val="8"/>
      <name val="Helv"/>
    </font>
    <font>
      <sz val="10"/>
      <name val="Helv"/>
    </font>
    <font>
      <b/>
      <sz val="10"/>
      <name val="Helv"/>
    </font>
    <font>
      <sz val="1"/>
      <name val="Helv"/>
    </font>
    <font>
      <b/>
      <sz val="12"/>
      <color indexed="12"/>
      <name val="Helv"/>
    </font>
    <font>
      <b/>
      <sz val="10"/>
      <color indexed="12"/>
      <name val="Helv"/>
    </font>
    <font>
      <b/>
      <sz val="12"/>
      <color indexed="8"/>
      <name val="Helv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10"/>
      </top>
      <bottom style="medium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4" fillId="0" borderId="2" xfId="0" applyFont="1" applyBorder="1" applyAlignment="1">
      <alignment horizontal="right"/>
    </xf>
    <xf numFmtId="0" fontId="2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4" fillId="0" borderId="0" xfId="0" applyFont="1"/>
    <xf numFmtId="167" fontId="1" fillId="0" borderId="0" xfId="0" applyNumberFormat="1" applyFont="1" applyAlignment="1">
      <alignment horizontal="right"/>
    </xf>
    <xf numFmtId="0" fontId="2" fillId="0" borderId="9" xfId="0" applyFont="1" applyBorder="1"/>
    <xf numFmtId="0" fontId="1" fillId="0" borderId="10" xfId="0" applyFont="1" applyBorder="1" applyAlignment="1">
      <alignment horizontal="center"/>
    </xf>
    <xf numFmtId="0" fontId="2" fillId="0" borderId="10" xfId="0" applyFont="1" applyBorder="1"/>
    <xf numFmtId="0" fontId="5" fillId="0" borderId="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4" xfId="0" applyFont="1" applyBorder="1"/>
    <xf numFmtId="0" fontId="4" fillId="0" borderId="0" xfId="0" applyFont="1" applyBorder="1"/>
    <xf numFmtId="0" fontId="4" fillId="0" borderId="7" xfId="0" applyFont="1" applyBorder="1"/>
    <xf numFmtId="0" fontId="6" fillId="0" borderId="0" xfId="0" applyFont="1" applyAlignment="1">
      <alignment horizontal="right"/>
    </xf>
    <xf numFmtId="0" fontId="2" fillId="0" borderId="0" xfId="0" applyFont="1" applyFill="1" applyBorder="1"/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0" fontId="0" fillId="0" borderId="0" xfId="0" applyNumberFormat="1"/>
    <xf numFmtId="169" fontId="5" fillId="0" borderId="0" xfId="0" applyNumberFormat="1" applyFont="1" applyBorder="1"/>
    <xf numFmtId="0" fontId="5" fillId="0" borderId="0" xfId="0" applyFont="1" applyBorder="1"/>
    <xf numFmtId="169" fontId="1" fillId="0" borderId="3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169" fontId="1" fillId="0" borderId="0" xfId="0" applyNumberFormat="1" applyFont="1" applyBorder="1"/>
    <xf numFmtId="169" fontId="1" fillId="2" borderId="8" xfId="0" applyNumberFormat="1" applyFont="1" applyFill="1" applyBorder="1"/>
    <xf numFmtId="10" fontId="1" fillId="2" borderId="3" xfId="0" applyNumberFormat="1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/>
    <xf numFmtId="0" fontId="0" fillId="0" borderId="13" xfId="0" applyBorder="1"/>
    <xf numFmtId="0" fontId="0" fillId="0" borderId="15" xfId="0" applyBorder="1"/>
    <xf numFmtId="0" fontId="1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6" xfId="0" applyFont="1" applyBorder="1"/>
    <xf numFmtId="169" fontId="1" fillId="2" borderId="3" xfId="0" applyNumberFormat="1" applyFont="1" applyFill="1" applyBorder="1"/>
    <xf numFmtId="169" fontId="0" fillId="0" borderId="3" xfId="0" applyNumberFormat="1" applyBorder="1"/>
    <xf numFmtId="1" fontId="0" fillId="0" borderId="3" xfId="0" applyNumberFormat="1" applyBorder="1"/>
    <xf numFmtId="0" fontId="8" fillId="0" borderId="13" xfId="0" applyFont="1" applyBorder="1" applyAlignment="1">
      <alignment horizontal="right"/>
    </xf>
    <xf numFmtId="169" fontId="8" fillId="0" borderId="14" xfId="0" applyNumberFormat="1" applyFont="1" applyBorder="1"/>
    <xf numFmtId="169" fontId="7" fillId="0" borderId="14" xfId="0" applyNumberFormat="1" applyFont="1" applyBorder="1" applyAlignment="1">
      <alignment horizontal="center"/>
    </xf>
    <xf numFmtId="10" fontId="1" fillId="2" borderId="16" xfId="0" applyNumberFormat="1" applyFont="1" applyFill="1" applyBorder="1"/>
    <xf numFmtId="0" fontId="0" fillId="0" borderId="0" xfId="0" applyBorder="1"/>
    <xf numFmtId="0" fontId="7" fillId="0" borderId="0" xfId="0" applyFont="1" applyBorder="1"/>
    <xf numFmtId="169" fontId="1" fillId="2" borderId="16" xfId="0" applyNumberFormat="1" applyFont="1" applyFill="1" applyBorder="1"/>
    <xf numFmtId="0" fontId="1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0" fillId="0" borderId="0" xfId="0" applyNumberFormat="1" applyAlignment="1">
      <alignment horizontal="right"/>
    </xf>
    <xf numFmtId="167" fontId="1" fillId="0" borderId="0" xfId="0" applyNumberFormat="1" applyFont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169" fontId="5" fillId="2" borderId="3" xfId="0" applyNumberFormat="1" applyFont="1" applyFill="1" applyBorder="1"/>
    <xf numFmtId="169" fontId="5" fillId="2" borderId="8" xfId="0" applyNumberFormat="1" applyFont="1" applyFill="1" applyBorder="1"/>
    <xf numFmtId="0" fontId="1" fillId="0" borderId="10" xfId="0" applyFont="1" applyBorder="1" applyAlignment="1">
      <alignment horizontal="left"/>
    </xf>
    <xf numFmtId="169" fontId="1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ict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</xdr:row>
          <xdr:rowOff>12700</xdr:rowOff>
        </xdr:from>
        <xdr:to>
          <xdr:col>4</xdr:col>
          <xdr:colOff>177800</xdr:colOff>
          <xdr:row>12</xdr:row>
          <xdr:rowOff>152400</xdr:rowOff>
        </xdr:to>
        <xdr:sp macro="" textlink="">
          <xdr:nvSpPr>
            <xdr:cNvPr id="1025" name="Picture 14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8B82FBD-EF3A-2149-AAF3-920FC87B85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pict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145"/>
  <sheetViews>
    <sheetView tabSelected="1" zoomScale="125" workbookViewId="0">
      <selection activeCell="B3" sqref="B3"/>
    </sheetView>
  </sheetViews>
  <sheetFormatPr baseColWidth="10" defaultRowHeight="16"/>
  <cols>
    <col min="1" max="1" width="4.140625" customWidth="1"/>
    <col min="2" max="2" width="2.85546875" style="60" customWidth="1"/>
    <col min="5" max="5" width="11.7109375" customWidth="1"/>
    <col min="6" max="6" width="11.85546875" customWidth="1"/>
    <col min="8" max="8" width="11.42578125" customWidth="1"/>
    <col min="10" max="10" width="6" customWidth="1"/>
    <col min="11" max="15" width="5.42578125" customWidth="1"/>
    <col min="16" max="16" width="6" customWidth="1"/>
    <col min="17" max="17" width="3.7109375" customWidth="1"/>
  </cols>
  <sheetData>
    <row r="1" spans="2:10" ht="17" thickBot="1">
      <c r="B1" s="61" t="s">
        <v>55</v>
      </c>
      <c r="E1" s="39"/>
      <c r="F1" s="41" t="s">
        <v>72</v>
      </c>
      <c r="G1" s="42"/>
      <c r="J1" s="2" t="s">
        <v>54</v>
      </c>
    </row>
    <row r="2" spans="2:10">
      <c r="B2" s="16">
        <v>1</v>
      </c>
      <c r="C2" s="2" t="s">
        <v>58</v>
      </c>
      <c r="D2" s="3"/>
      <c r="E2" s="3"/>
      <c r="F2" s="3"/>
      <c r="G2" s="3"/>
      <c r="H2" s="3"/>
      <c r="I2" s="3"/>
    </row>
    <row r="3" spans="2:10">
      <c r="B3" s="16"/>
      <c r="C3" s="3" t="s">
        <v>59</v>
      </c>
      <c r="D3" s="3"/>
      <c r="E3" s="3"/>
      <c r="F3" s="3"/>
      <c r="G3" s="3"/>
      <c r="H3" s="3"/>
      <c r="I3" s="3"/>
    </row>
    <row r="4" spans="2:10">
      <c r="B4" s="16"/>
      <c r="C4" s="3" t="s">
        <v>60</v>
      </c>
      <c r="D4" s="3"/>
      <c r="E4" s="3"/>
      <c r="F4" s="3"/>
      <c r="G4" s="3"/>
      <c r="H4" s="3"/>
      <c r="I4" s="3"/>
    </row>
    <row r="5" spans="2:10">
      <c r="B5" s="16"/>
      <c r="C5" s="3" t="s">
        <v>61</v>
      </c>
      <c r="D5" s="3"/>
      <c r="E5" s="3"/>
      <c r="F5" s="3"/>
      <c r="G5" s="3"/>
      <c r="H5" s="3"/>
      <c r="I5" s="3"/>
    </row>
    <row r="6" spans="2:10">
      <c r="B6" s="16"/>
      <c r="C6" s="3" t="s">
        <v>62</v>
      </c>
      <c r="D6" s="3"/>
      <c r="E6" s="3"/>
      <c r="F6" s="3"/>
      <c r="G6" s="3"/>
      <c r="H6" s="3"/>
      <c r="I6" s="3"/>
    </row>
    <row r="7" spans="2:10">
      <c r="B7" s="16"/>
      <c r="C7" s="3"/>
      <c r="D7" s="3"/>
      <c r="E7" s="3"/>
      <c r="F7" s="3"/>
      <c r="G7" s="3"/>
      <c r="H7" s="3"/>
      <c r="I7" s="3"/>
    </row>
    <row r="8" spans="2:10">
      <c r="B8" s="16"/>
      <c r="C8" s="3"/>
      <c r="D8" s="3"/>
      <c r="E8" s="3"/>
      <c r="F8" s="5" t="s">
        <v>63</v>
      </c>
      <c r="G8" s="3"/>
      <c r="H8" s="3"/>
      <c r="I8" s="26" t="s">
        <v>57</v>
      </c>
    </row>
    <row r="9" spans="2:10">
      <c r="B9" s="16"/>
      <c r="C9" s="3"/>
      <c r="D9" s="3"/>
      <c r="E9" s="3"/>
      <c r="F9" s="3" t="s">
        <v>64</v>
      </c>
      <c r="G9" s="3"/>
      <c r="H9" s="3"/>
      <c r="I9" s="3"/>
    </row>
    <row r="10" spans="2:10">
      <c r="B10" s="16"/>
      <c r="C10" s="3"/>
      <c r="D10" s="3"/>
      <c r="E10" s="3"/>
      <c r="F10" s="3" t="s">
        <v>65</v>
      </c>
      <c r="G10" s="3"/>
      <c r="H10" s="3"/>
      <c r="I10" s="4"/>
    </row>
    <row r="11" spans="2:10">
      <c r="B11" s="16"/>
      <c r="C11" s="3"/>
      <c r="D11" s="3"/>
      <c r="E11" s="3"/>
      <c r="F11" s="3" t="s">
        <v>66</v>
      </c>
      <c r="G11" s="3"/>
      <c r="H11" s="3"/>
      <c r="I11" s="3"/>
    </row>
    <row r="12" spans="2:10">
      <c r="B12" s="16"/>
      <c r="C12" s="3"/>
      <c r="D12" s="3"/>
      <c r="E12" s="3"/>
      <c r="F12" s="3" t="s">
        <v>67</v>
      </c>
      <c r="G12" s="3"/>
      <c r="H12" s="3"/>
      <c r="I12" s="3"/>
    </row>
    <row r="13" spans="2:10" ht="17" thickBot="1">
      <c r="B13" s="16"/>
      <c r="C13" s="3"/>
      <c r="D13" s="3"/>
      <c r="E13" s="3"/>
      <c r="F13" s="5" t="s">
        <v>29</v>
      </c>
      <c r="G13" s="3"/>
      <c r="H13" s="3"/>
      <c r="I13" s="3"/>
    </row>
    <row r="14" spans="2:10" ht="17" thickBot="1">
      <c r="B14" s="16"/>
      <c r="C14" s="3"/>
      <c r="D14" s="6"/>
      <c r="E14" s="7" t="s">
        <v>25</v>
      </c>
      <c r="F14" s="48">
        <v>18000</v>
      </c>
      <c r="G14" s="3"/>
      <c r="H14" s="3"/>
    </row>
    <row r="15" spans="2:10" ht="17" thickBot="1">
      <c r="B15" s="16"/>
      <c r="C15" s="3"/>
      <c r="D15" s="6"/>
      <c r="E15" s="7" t="s">
        <v>26</v>
      </c>
      <c r="F15" s="8">
        <v>5</v>
      </c>
      <c r="G15" s="9" t="s">
        <v>68</v>
      </c>
      <c r="H15" s="10" t="s">
        <v>70</v>
      </c>
      <c r="I15" s="11"/>
    </row>
    <row r="16" spans="2:10" ht="17" thickBot="1">
      <c r="B16" s="16"/>
      <c r="C16" s="3"/>
      <c r="D16" s="6"/>
      <c r="E16" s="7" t="s">
        <v>27</v>
      </c>
      <c r="F16" s="38">
        <v>8.7499999999999994E-2</v>
      </c>
      <c r="G16" s="12" t="s">
        <v>69</v>
      </c>
      <c r="H16" s="13" t="s">
        <v>24</v>
      </c>
      <c r="I16" s="14"/>
    </row>
    <row r="17" spans="2:9" ht="17" thickBot="1">
      <c r="B17" s="16"/>
      <c r="C17" s="3"/>
      <c r="D17" s="6"/>
      <c r="E17" s="7" t="s">
        <v>28</v>
      </c>
      <c r="F17" s="8">
        <v>1</v>
      </c>
      <c r="G17" s="64">
        <f>$F$14*(($F$16/$F17)/(1-(1+($F$16/$F17))^-($F$15*$F17)))</f>
        <v>4597.6848835306819</v>
      </c>
      <c r="H17" s="65">
        <f>G17</f>
        <v>4597.6848835306819</v>
      </c>
      <c r="I17" s="15" t="s">
        <v>24</v>
      </c>
    </row>
    <row r="18" spans="2:9" ht="17" thickBot="1">
      <c r="B18" s="16"/>
      <c r="C18" s="3"/>
      <c r="D18" s="6"/>
      <c r="E18" s="7" t="s">
        <v>28</v>
      </c>
      <c r="F18" s="8">
        <v>2</v>
      </c>
      <c r="G18" s="64">
        <f>$F$14*(($F$16/$F18)/(1-(1+($F$16/$F18))^-($F$15*$F18)))</f>
        <v>2260.8591254208313</v>
      </c>
      <c r="H18" s="64">
        <f>G18*2</f>
        <v>4521.7182508416627</v>
      </c>
      <c r="I18" s="15" t="s">
        <v>30</v>
      </c>
    </row>
    <row r="19" spans="2:9" ht="17" thickBot="1">
      <c r="B19" s="16"/>
      <c r="C19" s="3"/>
      <c r="D19" s="6"/>
      <c r="E19" s="7" t="s">
        <v>28</v>
      </c>
      <c r="F19" s="8">
        <v>4</v>
      </c>
      <c r="G19" s="64">
        <f>$F$14*(($F$16/$F19)/(1-(1+($F$16/$F19))^-($F$15*$F19)))</f>
        <v>1120.8398236911451</v>
      </c>
      <c r="H19" s="64">
        <f>G19*4</f>
        <v>4483.3592947645802</v>
      </c>
      <c r="I19" s="15" t="s">
        <v>31</v>
      </c>
    </row>
    <row r="20" spans="2:9" ht="17" thickBot="1">
      <c r="B20" s="16"/>
      <c r="C20" s="3"/>
      <c r="D20" s="6"/>
      <c r="E20" s="7" t="s">
        <v>28</v>
      </c>
      <c r="F20" s="8">
        <v>12</v>
      </c>
      <c r="G20" s="64">
        <f>$F$14*(($F$16/$F20)/(1-(1+($F$16/$F20))^-($F$15*$F20)))</f>
        <v>371.4701887250244</v>
      </c>
      <c r="H20" s="64">
        <f>G20*12</f>
        <v>4457.6422647002928</v>
      </c>
      <c r="I20" s="15" t="s">
        <v>32</v>
      </c>
    </row>
    <row r="21" spans="2:9">
      <c r="B21" s="16"/>
      <c r="C21" s="3" t="s">
        <v>8</v>
      </c>
      <c r="D21" s="62"/>
      <c r="E21" s="63"/>
      <c r="F21" s="62"/>
      <c r="G21" s="31"/>
      <c r="H21" s="31"/>
      <c r="I21" s="15"/>
    </row>
    <row r="22" spans="2:9">
      <c r="C22" t="s">
        <v>9</v>
      </c>
    </row>
    <row r="23" spans="2:9">
      <c r="C23" t="s">
        <v>10</v>
      </c>
    </row>
    <row r="25" spans="2:9">
      <c r="B25" s="16">
        <v>2</v>
      </c>
      <c r="C25" s="2" t="s">
        <v>71</v>
      </c>
      <c r="D25" s="3"/>
      <c r="E25" s="3"/>
      <c r="F25" s="3"/>
      <c r="G25" s="3"/>
      <c r="H25" s="3"/>
      <c r="I25" s="3"/>
    </row>
    <row r="26" spans="2:9">
      <c r="B26" s="16"/>
      <c r="C26" s="3" t="s">
        <v>22</v>
      </c>
      <c r="D26" s="3"/>
      <c r="E26" s="3"/>
      <c r="F26" s="3"/>
      <c r="G26" s="3"/>
      <c r="H26" s="3"/>
      <c r="I26" s="3"/>
    </row>
    <row r="27" spans="2:9">
      <c r="B27" s="16"/>
      <c r="C27" s="3" t="s">
        <v>23</v>
      </c>
      <c r="D27" s="3"/>
      <c r="E27" s="3"/>
      <c r="F27" s="3"/>
      <c r="G27" s="3"/>
      <c r="H27" s="3"/>
      <c r="I27" s="3"/>
    </row>
    <row r="28" spans="2:9" ht="17" thickBot="1">
      <c r="B28" s="16"/>
      <c r="C28" s="27" t="s">
        <v>33</v>
      </c>
      <c r="D28" s="3"/>
      <c r="E28" s="3"/>
      <c r="F28" s="3"/>
      <c r="G28" s="3"/>
      <c r="H28" s="3"/>
      <c r="I28" s="3"/>
    </row>
    <row r="29" spans="2:9" ht="17" thickBot="1">
      <c r="B29" s="16"/>
      <c r="C29" s="17"/>
      <c r="D29" s="45" t="s">
        <v>49</v>
      </c>
      <c r="E29" s="18" t="s">
        <v>34</v>
      </c>
      <c r="F29" s="19"/>
      <c r="G29" s="19"/>
      <c r="H29" s="19"/>
      <c r="I29" s="11"/>
    </row>
    <row r="30" spans="2:9" ht="17" thickBot="1">
      <c r="B30" s="16"/>
      <c r="C30" s="6"/>
      <c r="D30" s="46" t="s">
        <v>35</v>
      </c>
      <c r="E30" s="37">
        <v>18000</v>
      </c>
      <c r="F30" s="3"/>
      <c r="G30" s="3"/>
      <c r="I30" s="11"/>
    </row>
    <row r="31" spans="2:9" ht="17" thickBot="1">
      <c r="B31" s="16"/>
      <c r="C31" s="6"/>
      <c r="D31" s="46" t="s">
        <v>36</v>
      </c>
      <c r="E31" s="8">
        <v>5</v>
      </c>
      <c r="F31" s="20"/>
      <c r="G31" s="28" t="s">
        <v>37</v>
      </c>
      <c r="H31" s="19"/>
      <c r="I31" s="11"/>
    </row>
    <row r="32" spans="2:9" ht="17" thickBot="1">
      <c r="B32" s="16"/>
      <c r="C32" s="6"/>
      <c r="D32" s="46" t="s">
        <v>27</v>
      </c>
      <c r="E32" s="38">
        <v>8.7499999999999994E-2</v>
      </c>
      <c r="F32" s="21" t="s">
        <v>38</v>
      </c>
      <c r="G32" s="22"/>
      <c r="H32" s="21" t="s">
        <v>39</v>
      </c>
      <c r="I32" s="11"/>
    </row>
    <row r="33" spans="2:9" ht="17" thickBot="1">
      <c r="B33" s="16"/>
      <c r="C33" s="6"/>
      <c r="D33" s="7" t="s">
        <v>28</v>
      </c>
      <c r="E33" s="8">
        <v>1</v>
      </c>
      <c r="F33" s="48">
        <f>-PMT(E32/E33,E31*E33,E30)</f>
        <v>4597.6848835306773</v>
      </c>
      <c r="G33" s="23" t="s">
        <v>24</v>
      </c>
      <c r="H33" s="48">
        <f>F33</f>
        <v>4597.6848835306773</v>
      </c>
      <c r="I33" s="15" t="s">
        <v>24</v>
      </c>
    </row>
    <row r="34" spans="2:9" ht="17" thickBot="1">
      <c r="B34" s="16"/>
      <c r="C34" s="6"/>
      <c r="D34" s="7" t="s">
        <v>28</v>
      </c>
      <c r="E34" s="8">
        <v>2</v>
      </c>
      <c r="F34" s="48">
        <f>-PMT(E32/E34,E31*E34,E30)</f>
        <v>2260.8591254208295</v>
      </c>
      <c r="G34" s="24" t="s">
        <v>40</v>
      </c>
      <c r="H34" s="48">
        <f>F34*2</f>
        <v>4521.718250841659</v>
      </c>
      <c r="I34" s="15" t="s">
        <v>30</v>
      </c>
    </row>
    <row r="35" spans="2:9" ht="17" thickBot="1">
      <c r="B35" s="16"/>
      <c r="C35" s="6"/>
      <c r="D35" s="7" t="s">
        <v>28</v>
      </c>
      <c r="E35" s="8">
        <v>4</v>
      </c>
      <c r="F35" s="48">
        <f>-PMT(E32/E35,E31*E35,E30)</f>
        <v>1120.8398236911482</v>
      </c>
      <c r="G35" s="24" t="s">
        <v>41</v>
      </c>
      <c r="H35" s="48">
        <f>F35*4</f>
        <v>4483.359294764593</v>
      </c>
      <c r="I35" s="15" t="s">
        <v>31</v>
      </c>
    </row>
    <row r="36" spans="2:9" ht="17" thickBot="1">
      <c r="B36" s="16"/>
      <c r="C36" s="6"/>
      <c r="D36" s="7" t="s">
        <v>28</v>
      </c>
      <c r="E36" s="8">
        <v>12</v>
      </c>
      <c r="F36" s="48">
        <f>-PMT(E32/E36,E31*E36,E30)</f>
        <v>371.47018872502588</v>
      </c>
      <c r="G36" s="25" t="s">
        <v>42</v>
      </c>
      <c r="H36" s="48">
        <f>F36*12</f>
        <v>4457.642264700311</v>
      </c>
      <c r="I36" s="15" t="s">
        <v>32</v>
      </c>
    </row>
    <row r="37" spans="2:9" ht="17" thickBot="1">
      <c r="B37" s="16"/>
      <c r="C37" s="3"/>
      <c r="D37" s="3"/>
      <c r="E37" s="3"/>
      <c r="F37" s="3"/>
      <c r="G37" s="3"/>
      <c r="H37" s="3"/>
      <c r="I37" s="15"/>
    </row>
    <row r="38" spans="2:9" ht="17" thickBot="1">
      <c r="B38" s="16"/>
      <c r="C38" s="17"/>
      <c r="D38" s="45" t="s">
        <v>50</v>
      </c>
      <c r="E38" s="18" t="s">
        <v>43</v>
      </c>
      <c r="F38" s="19"/>
      <c r="G38" s="19"/>
      <c r="H38" s="19"/>
      <c r="I38" s="47"/>
    </row>
    <row r="39" spans="2:9" ht="17" thickBot="1">
      <c r="B39" s="16"/>
      <c r="C39" s="6"/>
      <c r="D39" s="46" t="s">
        <v>35</v>
      </c>
      <c r="E39" s="37">
        <v>18000</v>
      </c>
      <c r="F39" s="3"/>
      <c r="G39" s="3"/>
      <c r="H39" s="3"/>
      <c r="I39" s="47"/>
    </row>
    <row r="40" spans="2:9" ht="17" thickBot="1">
      <c r="B40" s="16"/>
      <c r="C40" s="6"/>
      <c r="D40" s="46" t="s">
        <v>36</v>
      </c>
      <c r="E40" s="8">
        <v>5</v>
      </c>
      <c r="F40" s="6"/>
      <c r="G40" s="28" t="s">
        <v>51</v>
      </c>
      <c r="H40" s="19"/>
      <c r="I40" s="47"/>
    </row>
    <row r="41" spans="2:9" ht="17" thickBot="1">
      <c r="B41" s="16"/>
      <c r="C41" s="6"/>
      <c r="D41" s="46" t="s">
        <v>27</v>
      </c>
      <c r="E41" s="38">
        <v>7.4999999999999997E-2</v>
      </c>
      <c r="F41" s="21" t="s">
        <v>38</v>
      </c>
      <c r="G41" s="22"/>
      <c r="H41" s="21" t="s">
        <v>39</v>
      </c>
      <c r="I41" s="47"/>
    </row>
    <row r="42" spans="2:9" ht="17" thickBot="1">
      <c r="B42" s="16"/>
      <c r="C42" s="6"/>
      <c r="D42" s="7" t="s">
        <v>28</v>
      </c>
      <c r="E42" s="8">
        <v>1</v>
      </c>
      <c r="F42" s="48">
        <f>-PMT(E41/E42,E40*E42,E39)</f>
        <v>4448.9649201609654</v>
      </c>
      <c r="G42" s="23" t="s">
        <v>24</v>
      </c>
      <c r="H42" s="48">
        <f>F42</f>
        <v>4448.9649201609654</v>
      </c>
      <c r="I42" s="15" t="s">
        <v>24</v>
      </c>
    </row>
    <row r="43" spans="2:9" ht="17" thickBot="1">
      <c r="B43" s="16"/>
      <c r="C43" s="6"/>
      <c r="D43" s="7" t="s">
        <v>28</v>
      </c>
      <c r="E43" s="8">
        <v>2</v>
      </c>
      <c r="F43" s="48">
        <f>-PMT(E41/E43,E40*E43,E39)</f>
        <v>2191.7041618627586</v>
      </c>
      <c r="G43" s="24" t="s">
        <v>40</v>
      </c>
      <c r="H43" s="48">
        <f>F43*2</f>
        <v>4383.4083237255172</v>
      </c>
      <c r="I43" s="15" t="s">
        <v>30</v>
      </c>
    </row>
    <row r="44" spans="2:9" ht="17" thickBot="1">
      <c r="B44" s="16"/>
      <c r="C44" s="6"/>
      <c r="D44" s="7" t="s">
        <v>28</v>
      </c>
      <c r="E44" s="8">
        <v>4</v>
      </c>
      <c r="F44" s="48">
        <f>-PMT(E41/E44,E40*E44,E39)</f>
        <v>1087.586633806832</v>
      </c>
      <c r="G44" s="24" t="s">
        <v>41</v>
      </c>
      <c r="H44" s="48">
        <f>F44*4</f>
        <v>4350.3465352273279</v>
      </c>
      <c r="I44" s="15" t="s">
        <v>31</v>
      </c>
    </row>
    <row r="45" spans="2:9" ht="17" thickBot="1">
      <c r="B45" s="16"/>
      <c r="C45" s="6"/>
      <c r="D45" s="7" t="s">
        <v>28</v>
      </c>
      <c r="E45" s="8">
        <v>12</v>
      </c>
      <c r="F45" s="48">
        <f>-PMT(E41/E45,E40*E45,E39)</f>
        <v>360.68307472122774</v>
      </c>
      <c r="G45" s="25" t="s">
        <v>42</v>
      </c>
      <c r="H45" s="48">
        <f>F45*12</f>
        <v>4328.1968966547329</v>
      </c>
      <c r="I45" s="15" t="s">
        <v>32</v>
      </c>
    </row>
    <row r="46" spans="2:9" ht="17" thickBot="1"/>
    <row r="47" spans="2:9" ht="17" thickBot="1">
      <c r="C47" s="1" t="s">
        <v>52</v>
      </c>
      <c r="D47" s="39"/>
      <c r="E47" s="40"/>
      <c r="F47" s="41" t="s">
        <v>56</v>
      </c>
      <c r="G47" s="40"/>
      <c r="H47" s="40"/>
      <c r="I47" s="44"/>
    </row>
    <row r="48" spans="2:9" ht="17" thickBot="1">
      <c r="D48" s="32"/>
      <c r="E48" s="31" t="s">
        <v>47</v>
      </c>
      <c r="F48" s="35" t="s">
        <v>48</v>
      </c>
      <c r="G48" s="1" t="s">
        <v>46</v>
      </c>
    </row>
    <row r="49" spans="3:10" ht="17" thickBot="1">
      <c r="D49" s="34" t="s">
        <v>24</v>
      </c>
      <c r="E49" s="33">
        <f>H33*$E$31</f>
        <v>22988.424417653387</v>
      </c>
      <c r="F49" s="33">
        <f>$E$40*H42</f>
        <v>22244.824600804826</v>
      </c>
      <c r="G49" s="33">
        <f>F49-E49</f>
        <v>-743.59981684856029</v>
      </c>
    </row>
    <row r="50" spans="3:10" ht="17" thickBot="1">
      <c r="D50" s="34" t="s">
        <v>30</v>
      </c>
      <c r="E50" s="33">
        <f>H34*$E$31</f>
        <v>22608.591254208295</v>
      </c>
      <c r="F50" s="33">
        <f>$E$40*H43</f>
        <v>21917.041618627587</v>
      </c>
      <c r="G50" s="33">
        <f>F50-E50</f>
        <v>-691.54963558070813</v>
      </c>
    </row>
    <row r="51" spans="3:10" ht="17" thickBot="1">
      <c r="D51" s="34" t="s">
        <v>31</v>
      </c>
      <c r="E51" s="33">
        <f>H35*$E$31</f>
        <v>22416.796473822964</v>
      </c>
      <c r="F51" s="33">
        <f>$E$40*H44</f>
        <v>21751.732676136638</v>
      </c>
      <c r="G51" s="33">
        <f>F51-E51</f>
        <v>-665.06379768632542</v>
      </c>
    </row>
    <row r="52" spans="3:10" ht="17" thickBot="1">
      <c r="D52" s="34" t="s">
        <v>32</v>
      </c>
      <c r="E52" s="33">
        <f>H36*$E$31</f>
        <v>22288.211323501557</v>
      </c>
      <c r="F52" s="33">
        <f>$E$40*H45</f>
        <v>21640.984483273663</v>
      </c>
      <c r="G52" s="33">
        <f>F52-E52</f>
        <v>-647.22684022789326</v>
      </c>
    </row>
    <row r="53" spans="3:10" ht="17" thickBot="1">
      <c r="D53" s="34"/>
      <c r="E53" s="31"/>
      <c r="F53" s="36"/>
      <c r="G53" s="36"/>
    </row>
    <row r="54" spans="3:10" ht="17" thickBot="1">
      <c r="C54" s="1" t="s">
        <v>53</v>
      </c>
      <c r="D54" s="51"/>
      <c r="E54" s="52"/>
      <c r="F54" s="40"/>
      <c r="G54" s="53" t="s">
        <v>73</v>
      </c>
      <c r="H54" s="40"/>
      <c r="I54" s="40"/>
      <c r="J54" s="42"/>
    </row>
    <row r="55" spans="3:10" ht="17" thickBot="1">
      <c r="C55" s="1" t="s">
        <v>74</v>
      </c>
      <c r="D55" s="54">
        <f>$E$41</f>
        <v>7.4999999999999997E-2</v>
      </c>
      <c r="E55" s="5">
        <v>0</v>
      </c>
      <c r="F55" s="5">
        <v>1</v>
      </c>
      <c r="G55" s="5">
        <v>2</v>
      </c>
      <c r="H55" s="5">
        <v>3</v>
      </c>
      <c r="I55" s="5">
        <v>4</v>
      </c>
      <c r="J55" s="2" t="s">
        <v>75</v>
      </c>
    </row>
    <row r="56" spans="3:10" ht="17" thickBot="1">
      <c r="D56">
        <v>1</v>
      </c>
      <c r="E56" s="49">
        <f>($F$42-$F$33)/(1+$E$41)^E55</f>
        <v>-148.71996336971188</v>
      </c>
      <c r="F56" s="49">
        <f>($F$42-$F$33)/(1+$E$41)^F55</f>
        <v>-138.344151971825</v>
      </c>
      <c r="G56" s="49">
        <f>($F$42-$F$33)/(1+$E$41)^G55</f>
        <v>-128.69223439239536</v>
      </c>
      <c r="H56" s="49">
        <f>($F$42-$F$33)/(1+$E$41)^H55</f>
        <v>-119.71370641153057</v>
      </c>
      <c r="I56" s="49">
        <f>($F$42-$F$33)/(1+$E$41)^I55</f>
        <v>-111.36158735956332</v>
      </c>
      <c r="J56" s="33">
        <f>SUM(E56:I56)</f>
        <v>-646.83164350502602</v>
      </c>
    </row>
    <row r="57" spans="3:10" ht="17" thickBot="1">
      <c r="D57">
        <v>2</v>
      </c>
      <c r="E57" s="50">
        <f>(($F$43-$F$34)*2)/(1+$E$41)^E55</f>
        <v>-138.30992711614181</v>
      </c>
      <c r="F57" s="50">
        <f>(($F$43-$F$34)*2)/(1+$E$41)^F55</f>
        <v>-128.66039731734122</v>
      </c>
      <c r="G57" s="50">
        <f>(($F$43-$F$34)*2)/(1+$E$41)^G55</f>
        <v>-119.68409052775928</v>
      </c>
      <c r="H57" s="50">
        <f>(($F$43-$F$34)*2)/(1+$E$41)^H55</f>
        <v>-111.3340377002412</v>
      </c>
      <c r="I57" s="50">
        <f>(($F$43-$F$34)*2)/(1+$E$41)^I55</f>
        <v>-103.56654669789879</v>
      </c>
      <c r="J57" s="33">
        <f>SUM(E57:I57)</f>
        <v>-601.55499935938224</v>
      </c>
    </row>
    <row r="58" spans="3:10" ht="17" thickBot="1">
      <c r="D58">
        <v>4</v>
      </c>
      <c r="E58" s="50">
        <f>($F$44-$F$35)*4/(1+$E$41)^E55</f>
        <v>-133.01275953726508</v>
      </c>
      <c r="F58" s="50">
        <f>($F$44-$F$35)*4/(1+$E$41)^F55</f>
        <v>-123.73279956954892</v>
      </c>
      <c r="G58" s="50">
        <f>($F$44-$F$35)*4/(1+$E$41)^G55</f>
        <v>-115.10027866934784</v>
      </c>
      <c r="H58" s="50">
        <f>($F$44-$F$35)*4/(1+$E$41)^H55</f>
        <v>-107.07002666916078</v>
      </c>
      <c r="I58" s="50">
        <f>($F$44-$F$35)*4/(1+$E$41)^I55</f>
        <v>-99.600024808521653</v>
      </c>
      <c r="J58" s="33">
        <f>SUM(E58:I58)</f>
        <v>-578.51588925384431</v>
      </c>
    </row>
    <row r="59" spans="3:10" ht="17" thickBot="1">
      <c r="D59">
        <v>12</v>
      </c>
      <c r="E59" s="50">
        <f>($F$45-$F$36)*12/(1+$E$41)^E55</f>
        <v>-129.44536804557765</v>
      </c>
      <c r="F59" s="50">
        <f>($F$45-$F$36)*12/(1+$E$41)^F55</f>
        <v>-120.41429585635132</v>
      </c>
      <c r="G59" s="50">
        <f>($F$45-$F$36)*12/(1+$E$41)^G55</f>
        <v>-112.01329847102448</v>
      </c>
      <c r="H59" s="50">
        <f>($F$45-$F$36)*12/(1+$E$41)^H55</f>
        <v>-104.19841718234835</v>
      </c>
      <c r="I59" s="50">
        <f>($F$45-$F$36)*12/(1+$E$41)^I55</f>
        <v>-96.928760169626372</v>
      </c>
      <c r="J59" s="33">
        <f>SUM(E59:I59)</f>
        <v>-563.0001397249282</v>
      </c>
    </row>
    <row r="60" spans="3:10" ht="17" thickBot="1">
      <c r="D60" s="34"/>
      <c r="E60" s="31"/>
      <c r="F60" s="36"/>
      <c r="G60" s="36"/>
    </row>
    <row r="61" spans="3:10" ht="17" thickBot="1">
      <c r="C61" s="1" t="s">
        <v>76</v>
      </c>
      <c r="D61" s="43"/>
      <c r="E61" s="40"/>
      <c r="F61" s="40"/>
      <c r="G61" s="41" t="s">
        <v>77</v>
      </c>
      <c r="H61" s="40"/>
      <c r="I61" s="40"/>
      <c r="J61" s="44"/>
    </row>
    <row r="62" spans="3:10" ht="17" thickBot="1">
      <c r="C62" s="1" t="s">
        <v>78</v>
      </c>
      <c r="D62" s="57">
        <f>$E$39</f>
        <v>18000</v>
      </c>
      <c r="E62" s="56"/>
      <c r="F62" s="56"/>
      <c r="G62" s="59" t="s">
        <v>79</v>
      </c>
      <c r="H62" s="56"/>
      <c r="I62" s="56"/>
      <c r="J62" s="55"/>
    </row>
    <row r="63" spans="3:10" ht="17" thickBot="1">
      <c r="D63" s="29" t="s">
        <v>44</v>
      </c>
      <c r="E63" s="58" t="s">
        <v>45</v>
      </c>
      <c r="F63" s="58">
        <v>1</v>
      </c>
      <c r="G63" s="58">
        <v>2</v>
      </c>
      <c r="H63" s="58">
        <v>4</v>
      </c>
      <c r="I63" s="58">
        <v>12</v>
      </c>
    </row>
    <row r="64" spans="3:10" ht="17" thickBot="1">
      <c r="D64" s="30">
        <v>0.01</v>
      </c>
      <c r="E64" s="33">
        <f>D64*$E$39</f>
        <v>180</v>
      </c>
      <c r="F64" s="33">
        <f>$J$56+$E64</f>
        <v>-466.83164350502602</v>
      </c>
      <c r="G64" s="33">
        <f>$J$57+$E64</f>
        <v>-421.55499935938224</v>
      </c>
      <c r="H64" s="33">
        <f>$J$58+$E64</f>
        <v>-398.51588925384431</v>
      </c>
      <c r="I64" s="33">
        <f>$J$59+$E64</f>
        <v>-383.0001397249282</v>
      </c>
    </row>
    <row r="65" spans="4:9" ht="17" thickBot="1">
      <c r="D65" s="30">
        <v>0.02</v>
      </c>
      <c r="E65" s="33">
        <f>D65*$E$39</f>
        <v>360</v>
      </c>
      <c r="F65" s="33">
        <f>$J$56+$E65</f>
        <v>-286.83164350502602</v>
      </c>
      <c r="G65" s="33">
        <f>$J$57+$E65</f>
        <v>-241.55499935938224</v>
      </c>
      <c r="H65" s="33">
        <f>$J$58+$E65</f>
        <v>-218.51588925384431</v>
      </c>
      <c r="I65" s="33">
        <f>$J$59+$E65</f>
        <v>-203.0001397249282</v>
      </c>
    </row>
    <row r="66" spans="4:9" ht="17" thickBot="1">
      <c r="D66" s="30">
        <v>0.03</v>
      </c>
      <c r="E66" s="33">
        <f>D66*$E$39</f>
        <v>540</v>
      </c>
      <c r="F66" s="33">
        <f>$J$56+$E66</f>
        <v>-106.83164350502602</v>
      </c>
      <c r="G66" s="33">
        <f>$J$57+$E66</f>
        <v>-61.554999359382236</v>
      </c>
      <c r="H66" s="33">
        <f>$J$58+$E66</f>
        <v>-38.515889253844307</v>
      </c>
      <c r="I66" s="33">
        <f>$J$59+$E66</f>
        <v>-23.000139724928204</v>
      </c>
    </row>
    <row r="67" spans="4:9" ht="17" thickBot="1">
      <c r="D67" s="30">
        <v>0.04</v>
      </c>
      <c r="E67" s="33">
        <f>D67*$E$39</f>
        <v>720</v>
      </c>
      <c r="F67" s="33">
        <f>$J$56+$E67</f>
        <v>73.168356494973978</v>
      </c>
      <c r="G67" s="33">
        <f>$J$57+$E67</f>
        <v>118.44500064061776</v>
      </c>
      <c r="H67" s="33">
        <f>$J$58+$E67</f>
        <v>141.48411074615569</v>
      </c>
      <c r="I67" s="33">
        <f>$J$59+$E67</f>
        <v>156.9998602750718</v>
      </c>
    </row>
    <row r="68" spans="4:9" ht="17" thickBot="1">
      <c r="D68" s="30">
        <v>0.05</v>
      </c>
      <c r="E68" s="33">
        <f>D68*$E$39</f>
        <v>900</v>
      </c>
      <c r="F68" s="33">
        <f>$J$56+$E68</f>
        <v>253.16835649497398</v>
      </c>
      <c r="G68" s="33">
        <f>$J$57+$E68</f>
        <v>298.44500064061776</v>
      </c>
      <c r="H68" s="33">
        <f>$J$58+$E68</f>
        <v>321.48411074615569</v>
      </c>
      <c r="I68" s="33">
        <f>$J$59+$E68</f>
        <v>336.9998602750718</v>
      </c>
    </row>
    <row r="70" spans="4:9">
      <c r="D70" s="2" t="s">
        <v>80</v>
      </c>
      <c r="E70" t="s">
        <v>4</v>
      </c>
    </row>
    <row r="71" spans="4:9">
      <c r="E71" t="s">
        <v>5</v>
      </c>
    </row>
    <row r="72" spans="4:9">
      <c r="E72" t="s">
        <v>6</v>
      </c>
    </row>
    <row r="73" spans="4:9">
      <c r="E73" t="s">
        <v>7</v>
      </c>
    </row>
    <row r="93" spans="2:3">
      <c r="B93" s="16">
        <v>3</v>
      </c>
      <c r="C93" s="2" t="s">
        <v>11</v>
      </c>
    </row>
    <row r="94" spans="2:3">
      <c r="C94" t="s">
        <v>12</v>
      </c>
    </row>
    <row r="95" spans="2:3">
      <c r="C95" t="s">
        <v>13</v>
      </c>
    </row>
    <row r="96" spans="2:3">
      <c r="C96" t="s">
        <v>14</v>
      </c>
    </row>
    <row r="97" spans="3:9" ht="17" thickBot="1">
      <c r="C97" t="s">
        <v>15</v>
      </c>
    </row>
    <row r="98" spans="3:9" ht="17" thickBot="1">
      <c r="C98" s="17"/>
      <c r="D98" s="45" t="s">
        <v>49</v>
      </c>
      <c r="E98" s="18" t="s">
        <v>34</v>
      </c>
      <c r="F98" s="19"/>
      <c r="G98" s="19"/>
      <c r="H98" s="19"/>
      <c r="I98" s="11"/>
    </row>
    <row r="99" spans="3:9" ht="17" thickBot="1">
      <c r="C99" s="6"/>
      <c r="D99" s="46" t="s">
        <v>35</v>
      </c>
      <c r="E99" s="37">
        <v>18000</v>
      </c>
      <c r="F99" s="3"/>
      <c r="G99" s="3"/>
      <c r="I99" s="11"/>
    </row>
    <row r="100" spans="3:9" ht="17" thickBot="1">
      <c r="C100" s="6"/>
      <c r="D100" s="46" t="s">
        <v>36</v>
      </c>
      <c r="E100" s="8">
        <v>5</v>
      </c>
      <c r="F100" s="20"/>
      <c r="G100" s="28" t="s">
        <v>37</v>
      </c>
      <c r="H100" s="19"/>
      <c r="I100" s="11"/>
    </row>
    <row r="101" spans="3:9" ht="17" thickBot="1">
      <c r="C101" s="6"/>
      <c r="D101" s="46" t="s">
        <v>27</v>
      </c>
      <c r="E101" s="38">
        <v>8.7499999999999994E-2</v>
      </c>
      <c r="F101" s="21" t="s">
        <v>38</v>
      </c>
      <c r="G101" s="22"/>
      <c r="H101" s="21" t="s">
        <v>39</v>
      </c>
      <c r="I101" s="11"/>
    </row>
    <row r="102" spans="3:9" ht="17" thickBot="1">
      <c r="C102" s="6"/>
      <c r="D102" s="7" t="s">
        <v>28</v>
      </c>
      <c r="E102" s="8">
        <v>1</v>
      </c>
      <c r="F102" s="48">
        <f>-PMT(E101/E102,E100*E102,E99)</f>
        <v>4597.6848835306773</v>
      </c>
      <c r="G102" s="23" t="s">
        <v>24</v>
      </c>
      <c r="H102" s="48">
        <f>F102</f>
        <v>4597.6848835306773</v>
      </c>
      <c r="I102" s="15" t="s">
        <v>24</v>
      </c>
    </row>
    <row r="103" spans="3:9" ht="17" thickBot="1">
      <c r="C103" s="6"/>
      <c r="D103" s="7" t="s">
        <v>28</v>
      </c>
      <c r="E103" s="8">
        <v>2</v>
      </c>
      <c r="F103" s="48">
        <f>-PMT(E101/E103,E100*E103,E99)</f>
        <v>2260.8591254208295</v>
      </c>
      <c r="G103" s="24" t="s">
        <v>40</v>
      </c>
      <c r="H103" s="48">
        <f>F103*2</f>
        <v>4521.718250841659</v>
      </c>
      <c r="I103" s="15" t="s">
        <v>30</v>
      </c>
    </row>
    <row r="104" spans="3:9" ht="17" thickBot="1">
      <c r="C104" s="6"/>
      <c r="D104" s="7" t="s">
        <v>28</v>
      </c>
      <c r="E104" s="8">
        <v>4</v>
      </c>
      <c r="F104" s="48">
        <f>-PMT(E101/E104,E100*E104,E99)</f>
        <v>1120.8398236911482</v>
      </c>
      <c r="G104" s="24" t="s">
        <v>41</v>
      </c>
      <c r="H104" s="48">
        <f>F104*4</f>
        <v>4483.359294764593</v>
      </c>
      <c r="I104" s="15" t="s">
        <v>31</v>
      </c>
    </row>
    <row r="105" spans="3:9" ht="17" thickBot="1">
      <c r="C105" s="6"/>
      <c r="D105" s="7" t="s">
        <v>28</v>
      </c>
      <c r="E105" s="8">
        <v>12</v>
      </c>
      <c r="F105" s="48">
        <f>-PMT(E101/E105,E100*E105,E99)</f>
        <v>371.47018872502588</v>
      </c>
      <c r="G105" s="25" t="s">
        <v>42</v>
      </c>
      <c r="H105" s="48">
        <f>F105*12</f>
        <v>4457.642264700311</v>
      </c>
      <c r="I105" s="15" t="s">
        <v>32</v>
      </c>
    </row>
    <row r="106" spans="3:9" ht="17" thickBot="1">
      <c r="C106" s="17"/>
      <c r="D106" s="45" t="s">
        <v>50</v>
      </c>
      <c r="E106" s="66" t="s">
        <v>16</v>
      </c>
      <c r="F106" s="19"/>
      <c r="G106" s="19"/>
      <c r="H106" s="19"/>
      <c r="I106" s="47"/>
    </row>
    <row r="107" spans="3:9" ht="17" thickBot="1">
      <c r="C107" s="6"/>
      <c r="D107" s="46" t="s">
        <v>35</v>
      </c>
      <c r="E107" s="37">
        <v>18000</v>
      </c>
      <c r="F107" s="3"/>
      <c r="G107" s="3"/>
      <c r="H107" s="3"/>
      <c r="I107" s="47"/>
    </row>
    <row r="108" spans="3:9" ht="17" thickBot="1">
      <c r="C108" s="6"/>
      <c r="D108" s="46" t="s">
        <v>36</v>
      </c>
      <c r="E108" s="8">
        <v>10</v>
      </c>
      <c r="F108" s="6"/>
      <c r="G108" s="28" t="s">
        <v>51</v>
      </c>
      <c r="H108" s="19"/>
      <c r="I108" s="47"/>
    </row>
    <row r="109" spans="3:9" ht="17" thickBot="1">
      <c r="C109" s="6"/>
      <c r="D109" s="46" t="s">
        <v>27</v>
      </c>
      <c r="E109" s="38">
        <v>7.4999999999999997E-2</v>
      </c>
      <c r="F109" s="21" t="s">
        <v>38</v>
      </c>
      <c r="G109" s="22"/>
      <c r="H109" s="21" t="s">
        <v>39</v>
      </c>
      <c r="I109" s="47"/>
    </row>
    <row r="110" spans="3:9" ht="17" thickBot="1">
      <c r="C110" s="6"/>
      <c r="D110" s="7" t="s">
        <v>28</v>
      </c>
      <c r="E110" s="8">
        <v>1</v>
      </c>
      <c r="F110" s="48">
        <f>-PMT(E109/E110,E108*E110,E107)</f>
        <v>2622.3466936702011</v>
      </c>
      <c r="G110" s="23" t="s">
        <v>24</v>
      </c>
      <c r="H110" s="48">
        <f>F110</f>
        <v>2622.3466936702011</v>
      </c>
      <c r="I110" s="15" t="s">
        <v>24</v>
      </c>
    </row>
    <row r="111" spans="3:9" ht="17" thickBot="1">
      <c r="C111" s="6"/>
      <c r="D111" s="7" t="s">
        <v>28</v>
      </c>
      <c r="E111" s="8">
        <v>2</v>
      </c>
      <c r="F111" s="48">
        <f>-PMT(E109/E111,E108*E111,E107)</f>
        <v>1295.3177519299732</v>
      </c>
      <c r="G111" s="24" t="s">
        <v>40</v>
      </c>
      <c r="H111" s="48">
        <f>F111*2</f>
        <v>2590.6355038599463</v>
      </c>
      <c r="I111" s="15" t="s">
        <v>30</v>
      </c>
    </row>
    <row r="112" spans="3:9" ht="17" thickBot="1">
      <c r="C112" s="6"/>
      <c r="D112" s="7" t="s">
        <v>28</v>
      </c>
      <c r="E112" s="8">
        <v>4</v>
      </c>
      <c r="F112" s="48">
        <f>-PMT(E109/E112,E108*E112,E107)</f>
        <v>643.66430468419196</v>
      </c>
      <c r="G112" s="24" t="s">
        <v>41</v>
      </c>
      <c r="H112" s="48">
        <f>F112*4</f>
        <v>2574.6572187367678</v>
      </c>
      <c r="I112" s="15" t="s">
        <v>31</v>
      </c>
    </row>
    <row r="113" spans="3:16" ht="17" thickBot="1">
      <c r="C113" s="6"/>
      <c r="D113" s="7" t="s">
        <v>28</v>
      </c>
      <c r="E113" s="8">
        <v>12</v>
      </c>
      <c r="F113" s="48">
        <f>-PMT(E109/E113,E108*E113,E107)</f>
        <v>213.66318444453756</v>
      </c>
      <c r="G113" s="25" t="s">
        <v>42</v>
      </c>
      <c r="H113" s="48">
        <f>F113*12</f>
        <v>2563.9582133344506</v>
      </c>
      <c r="I113" s="15" t="s">
        <v>32</v>
      </c>
    </row>
    <row r="114" spans="3:16" ht="17" thickBot="1">
      <c r="C114" s="1" t="s">
        <v>52</v>
      </c>
      <c r="D114" s="39"/>
      <c r="E114" s="40"/>
      <c r="F114" s="41" t="s">
        <v>56</v>
      </c>
      <c r="G114" s="40"/>
      <c r="H114" s="40"/>
      <c r="I114" s="44"/>
    </row>
    <row r="115" spans="3:16" ht="17" thickBot="1">
      <c r="D115" s="32"/>
      <c r="E115" s="31" t="s">
        <v>47</v>
      </c>
      <c r="F115" s="35" t="s">
        <v>48</v>
      </c>
      <c r="G115" s="1" t="s">
        <v>46</v>
      </c>
    </row>
    <row r="116" spans="3:16" ht="17" thickBot="1">
      <c r="D116" s="34" t="s">
        <v>24</v>
      </c>
      <c r="E116" s="33">
        <f>H102*$E$31</f>
        <v>22988.424417653387</v>
      </c>
      <c r="F116" s="33">
        <f>$E$108*H110</f>
        <v>26223.466936702011</v>
      </c>
      <c r="G116" s="33">
        <f>F116-E116</f>
        <v>3235.0425190486239</v>
      </c>
    </row>
    <row r="117" spans="3:16" ht="17" thickBot="1">
      <c r="D117" s="34" t="s">
        <v>30</v>
      </c>
      <c r="E117" s="33">
        <f>H103*$E$31</f>
        <v>22608.591254208295</v>
      </c>
      <c r="F117" s="33">
        <f>$E$108*H111</f>
        <v>25906.355038599464</v>
      </c>
      <c r="G117" s="33">
        <f>F117-E117</f>
        <v>3297.7637843911689</v>
      </c>
    </row>
    <row r="118" spans="3:16" ht="17" thickBot="1">
      <c r="D118" s="34" t="s">
        <v>31</v>
      </c>
      <c r="E118" s="33">
        <f>H104*$E$31</f>
        <v>22416.796473822964</v>
      </c>
      <c r="F118" s="33">
        <f>$E$108*H112</f>
        <v>25746.572187367678</v>
      </c>
      <c r="G118" s="33">
        <f>F118-E118</f>
        <v>3329.7757135447137</v>
      </c>
    </row>
    <row r="119" spans="3:16" ht="17" thickBot="1">
      <c r="D119" s="34" t="s">
        <v>32</v>
      </c>
      <c r="E119" s="33">
        <f>H105*$E$31</f>
        <v>22288.211323501557</v>
      </c>
      <c r="F119" s="33">
        <f>$E$108*H113</f>
        <v>25639.582133344506</v>
      </c>
      <c r="G119" s="33">
        <f>F119-E119</f>
        <v>3351.3708098429488</v>
      </c>
    </row>
    <row r="120" spans="3:16" ht="17" thickBot="1">
      <c r="C120" s="1" t="s">
        <v>53</v>
      </c>
      <c r="D120" s="51"/>
      <c r="E120" s="52"/>
      <c r="F120" s="40"/>
      <c r="G120" s="53" t="s">
        <v>73</v>
      </c>
      <c r="H120" s="40"/>
      <c r="I120" s="40"/>
      <c r="J120" s="42"/>
    </row>
    <row r="121" spans="3:16" ht="17" thickBot="1">
      <c r="C121" s="1" t="s">
        <v>74</v>
      </c>
      <c r="D121" s="54">
        <v>7.4999999999999997E-2</v>
      </c>
      <c r="E121" s="5">
        <v>0</v>
      </c>
      <c r="F121" s="5">
        <v>1</v>
      </c>
      <c r="G121" s="5">
        <v>2</v>
      </c>
      <c r="H121" s="5">
        <v>3</v>
      </c>
      <c r="I121" s="5">
        <v>4</v>
      </c>
      <c r="J121" s="5">
        <v>5</v>
      </c>
      <c r="K121" s="5">
        <v>6</v>
      </c>
      <c r="L121" s="5">
        <v>7</v>
      </c>
      <c r="M121" s="5">
        <v>8</v>
      </c>
      <c r="N121" s="5">
        <v>9</v>
      </c>
      <c r="O121" s="5">
        <v>10</v>
      </c>
      <c r="P121" s="2" t="s">
        <v>17</v>
      </c>
    </row>
    <row r="122" spans="3:16" ht="17" thickBot="1">
      <c r="D122">
        <v>1</v>
      </c>
      <c r="E122" s="49">
        <f t="shared" ref="E122:J122" si="0">($H$110-$H$102)/(1+$D$121)^E121</f>
        <v>-1975.3381898604762</v>
      </c>
      <c r="F122" s="49">
        <f t="shared" si="0"/>
        <v>-1837.5238975446291</v>
      </c>
      <c r="G122" s="49">
        <f t="shared" si="0"/>
        <v>-1709.324555855469</v>
      </c>
      <c r="H122" s="49">
        <f t="shared" si="0"/>
        <v>-1590.0693542841573</v>
      </c>
      <c r="I122" s="49">
        <f t="shared" si="0"/>
        <v>-1479.13428305503</v>
      </c>
      <c r="J122" s="49">
        <f t="shared" si="0"/>
        <v>-1375.9388679581673</v>
      </c>
      <c r="K122" s="49">
        <f>($H$110)/(1+$D$121)^K121</f>
        <v>1699.1797455728042</v>
      </c>
      <c r="L122" s="49">
        <f>($H$110)/(1+$D$121)^L121</f>
        <v>1580.6323214630736</v>
      </c>
      <c r="M122" s="49">
        <f>($H$110)/(1+$D$121)^M121</f>
        <v>1470.3556478726266</v>
      </c>
      <c r="N122" s="49">
        <f>($H$110)/(1+$D$121)^N121</f>
        <v>1367.7726956954666</v>
      </c>
      <c r="O122" s="49">
        <f>($H$110)/(1+$D$121)^O121</f>
        <v>1272.3466936702018</v>
      </c>
      <c r="P122" s="33">
        <f>SUM(E122:O122)</f>
        <v>-2577.0420442837567</v>
      </c>
    </row>
    <row r="123" spans="3:16" ht="17" thickBot="1">
      <c r="D123">
        <v>2</v>
      </c>
      <c r="E123" s="49">
        <f t="shared" ref="E123:J123" si="1">(($H$111-$H$103))/(1+$D$121)^E121</f>
        <v>-1931.0827469817127</v>
      </c>
      <c r="F123" s="49">
        <f t="shared" si="1"/>
        <v>-1796.3560437039189</v>
      </c>
      <c r="G123" s="49">
        <f t="shared" si="1"/>
        <v>-1671.0288778641107</v>
      </c>
      <c r="H123" s="49">
        <f t="shared" si="1"/>
        <v>-1554.4454677805682</v>
      </c>
      <c r="I123" s="49">
        <f t="shared" si="1"/>
        <v>-1445.9957839819238</v>
      </c>
      <c r="J123" s="49">
        <f t="shared" si="1"/>
        <v>-1345.1123571924873</v>
      </c>
      <c r="K123" s="49">
        <f>(($H$111))/(1+$D$121)^K121</f>
        <v>1678.6321148710126</v>
      </c>
      <c r="L123" s="49">
        <f>(($H$111))/(1+$D$121)^L121</f>
        <v>1561.5182463916394</v>
      </c>
      <c r="M123" s="49">
        <f>(($H$111))/(1+$D$121)^M121</f>
        <v>1452.5751129224554</v>
      </c>
      <c r="N123" s="49">
        <f>(($H$111))/(1+$D$121)^N121</f>
        <v>1351.2326631836795</v>
      </c>
      <c r="O123" s="49">
        <f>(($H$111))/(1+$D$121)^O121</f>
        <v>1256.9606169150509</v>
      </c>
      <c r="P123" s="33">
        <f>SUM(E123:O123)</f>
        <v>-2443.1025232208849</v>
      </c>
    </row>
    <row r="124" spans="3:16" ht="17" thickBot="1">
      <c r="D124">
        <v>4</v>
      </c>
      <c r="E124" s="49">
        <f t="shared" ref="E124:J124" si="2">($H$112-$H$104)/(1+$D$121)^E121</f>
        <v>-1908.7020760278251</v>
      </c>
      <c r="F124" s="49">
        <f t="shared" si="2"/>
        <v>-1775.5368149096048</v>
      </c>
      <c r="G124" s="49">
        <f t="shared" si="2"/>
        <v>-1651.6621534042836</v>
      </c>
      <c r="H124" s="49">
        <f t="shared" si="2"/>
        <v>-1536.4299101435197</v>
      </c>
      <c r="I124" s="49">
        <f t="shared" si="2"/>
        <v>-1429.237125714902</v>
      </c>
      <c r="J124" s="49">
        <f t="shared" si="2"/>
        <v>-1329.5229076417693</v>
      </c>
      <c r="K124" s="49">
        <f>($H$112)/(1+$D$121)^K121</f>
        <v>1668.2788009801275</v>
      </c>
      <c r="L124" s="49">
        <f>($H$112)/(1+$D$121)^L121</f>
        <v>1551.8872567256999</v>
      </c>
      <c r="M124" s="49">
        <f>($H$112)/(1+$D$121)^M121</f>
        <v>1443.6160527680931</v>
      </c>
      <c r="N124" s="49">
        <f>($H$112)/(1+$D$121)^N121</f>
        <v>1342.8986537377609</v>
      </c>
      <c r="O124" s="49">
        <f>($H$112)/(1+$D$121)^O121</f>
        <v>1249.2080499886151</v>
      </c>
      <c r="P124" s="33">
        <f>SUM(E124:O124)</f>
        <v>-2375.2021736416068</v>
      </c>
    </row>
    <row r="125" spans="3:16" ht="17" thickBot="1">
      <c r="D125">
        <v>12</v>
      </c>
      <c r="E125" s="49">
        <f t="shared" ref="E125:J125" si="3">($H$113-$H$105)/(1+$D$121)^E121</f>
        <v>-1893.6840513658603</v>
      </c>
      <c r="F125" s="49">
        <f t="shared" si="3"/>
        <v>-1761.5665594101026</v>
      </c>
      <c r="G125" s="49">
        <f t="shared" si="3"/>
        <v>-1638.6665668931189</v>
      </c>
      <c r="H125" s="49">
        <f t="shared" si="3"/>
        <v>-1524.3409924587154</v>
      </c>
      <c r="I125" s="49">
        <f t="shared" si="3"/>
        <v>-1417.9916208918282</v>
      </c>
      <c r="J125" s="49">
        <f t="shared" si="3"/>
        <v>-1319.0619729226307</v>
      </c>
      <c r="K125" s="49">
        <f>($H$113)/(1+$D$121)^K121</f>
        <v>1661.3462571935745</v>
      </c>
      <c r="L125" s="49">
        <f>($H$113)/(1+$D$121)^L121</f>
        <v>1545.4383787847203</v>
      </c>
      <c r="M125" s="49">
        <f>($H$113)/(1+$D$121)^M121</f>
        <v>1437.617096543926</v>
      </c>
      <c r="N125" s="49">
        <f>($H$113)/(1+$D$121)^N121</f>
        <v>1337.3182293431869</v>
      </c>
      <c r="O125" s="49">
        <f>($H$113)/(1+$D$121)^O121</f>
        <v>1244.0169575285463</v>
      </c>
      <c r="P125" s="33">
        <f>SUM(E125:O125)</f>
        <v>-2329.5748445483027</v>
      </c>
    </row>
    <row r="126" spans="3:16" ht="17" thickBot="1">
      <c r="C126" s="1" t="s">
        <v>76</v>
      </c>
      <c r="D126" s="43"/>
      <c r="E126" s="40"/>
      <c r="F126" s="40"/>
      <c r="G126" s="41" t="s">
        <v>77</v>
      </c>
      <c r="H126" s="40"/>
      <c r="I126" s="40"/>
      <c r="J126" s="44"/>
    </row>
    <row r="127" spans="3:16" ht="17" thickBot="1">
      <c r="C127" s="1" t="s">
        <v>78</v>
      </c>
      <c r="D127" s="57">
        <f>$E$39</f>
        <v>18000</v>
      </c>
      <c r="E127" s="56"/>
      <c r="F127" s="56"/>
      <c r="G127" s="59" t="s">
        <v>79</v>
      </c>
      <c r="H127" s="56"/>
      <c r="I127" s="56"/>
      <c r="J127" s="55"/>
    </row>
    <row r="128" spans="3:16" ht="17" thickBot="1">
      <c r="D128" s="29" t="s">
        <v>44</v>
      </c>
      <c r="E128" s="58" t="s">
        <v>45</v>
      </c>
      <c r="F128" s="58">
        <v>1</v>
      </c>
      <c r="G128" s="58">
        <v>2</v>
      </c>
      <c r="H128" s="58">
        <v>4</v>
      </c>
      <c r="I128" s="58">
        <v>12</v>
      </c>
    </row>
    <row r="129" spans="4:9" ht="17" thickBot="1">
      <c r="D129" s="30">
        <v>0.01</v>
      </c>
      <c r="E129" s="33">
        <f t="shared" ref="E129:E134" si="4">D129*$E$39</f>
        <v>180</v>
      </c>
      <c r="F129" s="33">
        <f t="shared" ref="F129:F134" si="5">$P$122+$E129</f>
        <v>-2397.0420442837567</v>
      </c>
      <c r="G129" s="33">
        <f t="shared" ref="G129:G134" si="6">$P$123+$E129</f>
        <v>-2263.1025232208849</v>
      </c>
      <c r="H129" s="33">
        <f t="shared" ref="H129:H134" si="7">$P$124+$E129</f>
        <v>-2195.2021736416068</v>
      </c>
      <c r="I129" s="33">
        <f t="shared" ref="I129:I134" si="8">$P$125+$E129</f>
        <v>-2149.5748445483027</v>
      </c>
    </row>
    <row r="130" spans="4:9" ht="17" thickBot="1">
      <c r="D130" s="30">
        <v>0.02</v>
      </c>
      <c r="E130" s="33">
        <f t="shared" si="4"/>
        <v>360</v>
      </c>
      <c r="F130" s="33">
        <f t="shared" si="5"/>
        <v>-2217.0420442837567</v>
      </c>
      <c r="G130" s="33">
        <f t="shared" si="6"/>
        <v>-2083.1025232208849</v>
      </c>
      <c r="H130" s="33">
        <f t="shared" si="7"/>
        <v>-2015.2021736416068</v>
      </c>
      <c r="I130" s="33">
        <f t="shared" si="8"/>
        <v>-1969.5748445483027</v>
      </c>
    </row>
    <row r="131" spans="4:9" ht="17" thickBot="1">
      <c r="D131" s="30">
        <v>0.03</v>
      </c>
      <c r="E131" s="33">
        <f t="shared" si="4"/>
        <v>540</v>
      </c>
      <c r="F131" s="33">
        <f t="shared" si="5"/>
        <v>-2037.0420442837567</v>
      </c>
      <c r="G131" s="33">
        <f t="shared" si="6"/>
        <v>-1903.1025232208849</v>
      </c>
      <c r="H131" s="33">
        <f t="shared" si="7"/>
        <v>-1835.2021736416068</v>
      </c>
      <c r="I131" s="33">
        <f t="shared" si="8"/>
        <v>-1789.5748445483027</v>
      </c>
    </row>
    <row r="132" spans="4:9" ht="17" thickBot="1">
      <c r="D132" s="30">
        <v>0.04</v>
      </c>
      <c r="E132" s="33">
        <f t="shared" si="4"/>
        <v>720</v>
      </c>
      <c r="F132" s="33">
        <f t="shared" si="5"/>
        <v>-1857.0420442837567</v>
      </c>
      <c r="G132" s="33">
        <f t="shared" si="6"/>
        <v>-1723.1025232208849</v>
      </c>
      <c r="H132" s="33">
        <f t="shared" si="7"/>
        <v>-1655.2021736416068</v>
      </c>
      <c r="I132" s="33">
        <f t="shared" si="8"/>
        <v>-1609.5748445483027</v>
      </c>
    </row>
    <row r="133" spans="4:9" ht="17" thickBot="1">
      <c r="D133" s="30">
        <v>0.05</v>
      </c>
      <c r="E133" s="33">
        <f t="shared" si="4"/>
        <v>900</v>
      </c>
      <c r="F133" s="33">
        <f t="shared" si="5"/>
        <v>-1677.0420442837567</v>
      </c>
      <c r="G133" s="33">
        <f t="shared" si="6"/>
        <v>-1543.1025232208849</v>
      </c>
      <c r="H133" s="33">
        <f t="shared" si="7"/>
        <v>-1475.2021736416068</v>
      </c>
      <c r="I133" s="33">
        <f t="shared" si="8"/>
        <v>-1429.5748445483027</v>
      </c>
    </row>
    <row r="134" spans="4:9" ht="17" thickBot="1">
      <c r="D134" s="30">
        <v>0.1</v>
      </c>
      <c r="E134" s="67">
        <f t="shared" si="4"/>
        <v>1800</v>
      </c>
      <c r="F134" s="67">
        <f t="shared" si="5"/>
        <v>-777.0420442837567</v>
      </c>
      <c r="G134" s="67">
        <f t="shared" si="6"/>
        <v>-643.1025232208849</v>
      </c>
      <c r="H134" s="67">
        <f t="shared" si="7"/>
        <v>-575.20217364160681</v>
      </c>
      <c r="I134" s="67">
        <f t="shared" si="8"/>
        <v>-529.57484454830274</v>
      </c>
    </row>
    <row r="138" spans="4:9">
      <c r="D138" s="2" t="s">
        <v>80</v>
      </c>
      <c r="E138" t="s">
        <v>18</v>
      </c>
    </row>
    <row r="139" spans="4:9">
      <c r="E139" t="s">
        <v>19</v>
      </c>
    </row>
    <row r="140" spans="4:9">
      <c r="E140" t="s">
        <v>20</v>
      </c>
    </row>
    <row r="141" spans="4:9">
      <c r="E141" t="s">
        <v>21</v>
      </c>
    </row>
    <row r="142" spans="4:9">
      <c r="E142" t="s">
        <v>0</v>
      </c>
    </row>
    <row r="143" spans="4:9">
      <c r="E143" t="s">
        <v>1</v>
      </c>
    </row>
    <row r="144" spans="4:9">
      <c r="E144" t="s">
        <v>2</v>
      </c>
    </row>
    <row r="145" spans="5:5">
      <c r="E145" t="s">
        <v>3</v>
      </c>
    </row>
  </sheetData>
  <phoneticPr fontId="3"/>
  <pageMargins left="0.3" right="0.3" top="0.7" bottom="0.7" header="0.5" footer="0.5"/>
  <pageSetup paperSize="0" scale="80" orientation="landscape" horizontalDpi="4294967292" verticalDpi="4294967292"/>
  <headerFooter alignWithMargins="0">
    <oddHeader>&amp;L&amp;CCalculDuPret.xls&amp;R&amp;D, &amp;T</oddHeader>
    <oddFooter>&amp;L&amp;C- &amp;P -&amp;R</oddFooter>
  </headerFooter>
  <drawing r:id="rId1"/>
  <legacyDrawing r:id="rId2"/>
  <oleObjects>
    <mc:AlternateContent xmlns:mc="http://schemas.openxmlformats.org/markup-compatibility/2006">
      <mc:Choice Requires="x14">
        <oleObject progId="Equation.2" shapeId="1025" r:id="rId3">
          <objectPr defaultSize="0" autoPict="0" r:id="rId4">
            <anchor moveWithCells="1">
              <from>
                <xdr:col>2</xdr:col>
                <xdr:colOff>38100</xdr:colOff>
                <xdr:row>6</xdr:row>
                <xdr:rowOff>12700</xdr:rowOff>
              </from>
              <to>
                <xdr:col>4</xdr:col>
                <xdr:colOff>177800</xdr:colOff>
                <xdr:row>12</xdr:row>
                <xdr:rowOff>152400</xdr:rowOff>
              </to>
            </anchor>
          </objectPr>
        </oleObject>
      </mc:Choice>
      <mc:Fallback>
        <oleObject progId="Equation.2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Company>School of Business / Montclair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 User</dc:creator>
  <cp:lastModifiedBy>Phillip LeBel</cp:lastModifiedBy>
  <cp:lastPrinted>2008-07-25T12:00:30Z</cp:lastPrinted>
  <dcterms:created xsi:type="dcterms:W3CDTF">2008-07-23T21:39:31Z</dcterms:created>
  <dcterms:modified xsi:type="dcterms:W3CDTF">2023-07-19T21:47:31Z</dcterms:modified>
</cp:coreProperties>
</file>