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140" windowHeight="13420" tabRatio="145" activeTab="0"/>
  </bookViews>
  <sheets>
    <sheet name="CDMT Cas d'étude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<sst xmlns="http://schemas.openxmlformats.org/spreadsheetml/2006/main" count="475" uniqueCount="241">
  <si>
    <t>dîplomés primaires nets</t>
  </si>
  <si>
    <t>Simulation financière</t>
  </si>
  <si>
    <t>dépenses administratives</t>
  </si>
  <si>
    <t>dépenses d'enseignement</t>
  </si>
  <si>
    <t>dépenses au matériel scolaire</t>
  </si>
  <si>
    <t>Coût capital unitaire</t>
  </si>
  <si>
    <t>Coûts administratifs</t>
  </si>
  <si>
    <t>Coûts d'enseignement</t>
  </si>
  <si>
    <t>Coûts du matériel</t>
  </si>
  <si>
    <t>Coûts totaux</t>
  </si>
  <si>
    <t>Valeur Actuelle des revs.supp.</t>
  </si>
  <si>
    <t>Cash flow</t>
  </si>
  <si>
    <t>Coeff d'act</t>
  </si>
  <si>
    <t>Simulation technique</t>
  </si>
  <si>
    <t>Stock du bois</t>
  </si>
  <si>
    <t>nombre de fours nécessaires au taux de pénétration en l'année 1</t>
  </si>
  <si>
    <t>Coût capital d'un four artisanal, en FCFA</t>
  </si>
  <si>
    <t>fabrication des fours à plusièures échelles en vue d'une diffusion dont le but est</t>
  </si>
  <si>
    <t>bois conservé</t>
  </si>
  <si>
    <t>de la consommation traditionnelle</t>
  </si>
  <si>
    <t>bois consommé</t>
  </si>
  <si>
    <t>stock net</t>
  </si>
  <si>
    <t>croissance</t>
  </si>
  <si>
    <t>Stock t+1</t>
  </si>
  <si>
    <t>Système Ban Ak Souf</t>
  </si>
  <si>
    <t>Système traditionnel</t>
  </si>
  <si>
    <t>population</t>
  </si>
  <si>
    <t>consommation du bois par tête</t>
  </si>
  <si>
    <t>consommation totale</t>
  </si>
  <si>
    <t>stock net avant croissance</t>
  </si>
  <si>
    <t>différence stock</t>
  </si>
  <si>
    <t>valeur</t>
  </si>
  <si>
    <t>personnelle aux cas des incidents coupables en la diffusion du SIDA.</t>
  </si>
  <si>
    <t>les trois volets qui seront mise en oeuvre sous l'égide de la direction du Ministère de la Santé</t>
  </si>
  <si>
    <t>en collaboration avec le Ministère de Commerce International et le Ministère de Justice.</t>
  </si>
  <si>
    <t>Population infectée par le SIDA</t>
  </si>
  <si>
    <t>taux de croissance annuelle de la population rurale</t>
  </si>
  <si>
    <t>de la population nationale</t>
  </si>
  <si>
    <t>taux de croissance de la population nationale</t>
  </si>
  <si>
    <t>de la population infectée</t>
  </si>
  <si>
    <t>de respecter auprès de leurs créditeurs bancaires.</t>
  </si>
  <si>
    <t>Détermination d'un scénario pessimiste basé sur une augmentation</t>
  </si>
  <si>
    <t>du prix du coût capital par</t>
  </si>
  <si>
    <t>par rapport au prix du cas de référence.</t>
  </si>
  <si>
    <t>Basé sur le cas de référence, insertion du projet dans le budgét d'investissement.</t>
  </si>
  <si>
    <t>L'année 0 dans cette étude est l'année courante.</t>
  </si>
  <si>
    <t>Le Projet Réseau Routier National</t>
  </si>
  <si>
    <t>Le système scolaire traditionnel reflète une formation intellectuelle dont les objectifs principaux</t>
  </si>
  <si>
    <t>sont visés sur les compétences d'expression écrite et orale, l'analyse quantitative, et la maîtrise</t>
  </si>
  <si>
    <t>de grands thèmes de l'histoire et de la culture traditionnelle et moderne.  La critique au système</t>
  </si>
  <si>
    <t>est que les dîplomés sont capables dans un sens général de participer à la vie civique et</t>
  </si>
  <si>
    <t>économique mais dont la capacité d'un métier professionnel n'a pratiquement aucune racine.</t>
  </si>
  <si>
    <t>Par conséquence, il se trouve que bien des dîplomés, et surtout ceux du milieu rural, sont</t>
  </si>
  <si>
    <t>mal-adaptés aux conditions de travail.  Vu la mal-adaptation à leur milieu, les dîplomés</t>
  </si>
  <si>
    <t>poursuivent la pyramide scolaire dont la fin est un niveau d'éducation supérieure mais</t>
  </si>
  <si>
    <t xml:space="preserve">pour qui il y a trop peu de débouchés au marché de travail. Afin de faire face au problème </t>
  </si>
  <si>
    <t>routes rurales goudronnées sans le projet</t>
  </si>
  <si>
    <t>Routes rurales goundronnées par tête avec le projet</t>
  </si>
  <si>
    <t>Routes rurales goundronnées par tête sans le projet</t>
  </si>
  <si>
    <t>population rurale</t>
  </si>
  <si>
    <t>population scolarisée au primaire</t>
  </si>
  <si>
    <t>inscriptions secondaires</t>
  </si>
  <si>
    <t>inscriptions EMP</t>
  </si>
  <si>
    <t>dîplomés primaires</t>
  </si>
  <si>
    <t>Avec les conditions dans la fiche technique, ce projet ne doit pas être compris dans le dossier CDMT.</t>
  </si>
  <si>
    <t>Corrigé au Projet Lutte Contre le SIDA</t>
  </si>
  <si>
    <t>Dépenses de production</t>
  </si>
  <si>
    <t>VA du PIB par tête épargnée</t>
  </si>
  <si>
    <t>Population de base</t>
  </si>
  <si>
    <t>population infectée sans intervention</t>
  </si>
  <si>
    <t>nombre de morts par le SIDA</t>
  </si>
  <si>
    <t>Population nette de base</t>
  </si>
  <si>
    <t>Population avec intervention</t>
  </si>
  <si>
    <t>Population supplémentaire</t>
  </si>
  <si>
    <t>pourcentage du stock du bois de feu consommé par an</t>
  </si>
  <si>
    <t>Consommation totale annuelle de bois de feu, en tonnes, avec le taux de pénétration</t>
  </si>
  <si>
    <t>prix du bois de feu par tonne, en FCFA</t>
  </si>
  <si>
    <t>Valeur du bois de feu conservé par an</t>
  </si>
  <si>
    <t>bois de feu conservé par an</t>
  </si>
  <si>
    <t>coût capital total</t>
  </si>
  <si>
    <t>coût unitaire de production par an</t>
  </si>
  <si>
    <t>taux de pénétration ciblé en l'année 1</t>
  </si>
  <si>
    <t xml:space="preserve">Voici ci-dessous des données techniques sur le projet Ban Ak Souf. Le projet envisage </t>
  </si>
  <si>
    <t>VAA</t>
  </si>
  <si>
    <t>Coûts de fonctionnement</t>
  </si>
  <si>
    <t>VAN + cap+</t>
  </si>
  <si>
    <t>Insertion du projet dans le budgét d'investissement</t>
  </si>
  <si>
    <t>©2003</t>
  </si>
  <si>
    <t>P. LeBel</t>
  </si>
  <si>
    <t>de propriété, faute des pressions démographiques, et fautes des échecs technologiques</t>
  </si>
  <si>
    <t>en la vulgarisation des espèces plus productives, le Ministère du Développement Rural est en</t>
  </si>
  <si>
    <t>400 000 km de routes goudronnées. La seule exigence de leurs travaux est que le taux de</t>
  </si>
  <si>
    <t xml:space="preserve">d'éducation publique dans les écoles et dans la presse avec des témoignages par des victimes </t>
  </si>
  <si>
    <t>nombre de morts annuels de la population infectée</t>
  </si>
  <si>
    <t>Valeur actuelle du PIB par tête espérée d'un victime du SIDA</t>
  </si>
  <si>
    <t xml:space="preserve">Le démarrage du projet est envisagé par la construction en l'an 1 et la production à partir de </t>
  </si>
  <si>
    <t>l'année 2, avec une vie du projet de 5 ans.</t>
  </si>
  <si>
    <t>dépenses en capital des 3 volets</t>
  </si>
  <si>
    <t>coûts de production annuelle des 3 volets</t>
  </si>
  <si>
    <t xml:space="preserve">notables; b. la création et le soutien des laboratoires de recherches dont les chercheurs feront </t>
  </si>
  <si>
    <t xml:space="preserve">des essais cliniques des produits pharmaceutiques sous forme des partenariats avec de grandes </t>
  </si>
  <si>
    <t>compagnies internationales; c. la création d'un cadre juridique afin de fixer la responsabilité</t>
  </si>
  <si>
    <t>rentabilité interne achève un plancher de 10 pourcent, vu le taux d'intêrét qu'ils sont obligés</t>
  </si>
  <si>
    <t>Précis du projet</t>
  </si>
  <si>
    <t>Depuis plusieurs années, la déforestation s'accroît d'un rythme ménaçant dans biens des pays</t>
  </si>
  <si>
    <t>en Afrique au sud du Sahara.  Faute de pluviométrie adéquate, faute des faiblesses des droits</t>
  </si>
  <si>
    <t>train de considérer l'adoption d'un programme de conservation des ressources energétiques.</t>
  </si>
  <si>
    <t>Dans le milieu rural, les ménages dépendent de leur alimentation, et parfois du chauffage et</t>
  </si>
  <si>
    <t>de la lumière, par la consommation du bois forestier.  D'après des données ci-jointes, on</t>
  </si>
  <si>
    <t>note l'impact sur la production et sur la consommation du bois traditionnel et aussi du bois de</t>
  </si>
  <si>
    <t>charbon les tendances à travers l'horizon d'ici 10 ans.  Face au risque d'une déforestation</t>
  </si>
  <si>
    <t>Fiche technique</t>
  </si>
  <si>
    <t>Le Projet Ban Ak Souf Artisanal</t>
  </si>
  <si>
    <t>Corrigé au Projet Ban Ak Souf Artisanal</t>
  </si>
  <si>
    <t>Depuis plusieurs années, tout effort de monter une stratégie contre la pauvrété est coincée par les</t>
  </si>
  <si>
    <t>Cas de rérérence</t>
  </si>
  <si>
    <t>Coeff d'Act</t>
  </si>
  <si>
    <t>Simulation technique sur la démographie</t>
  </si>
  <si>
    <t xml:space="preserve">Si le projet est valable du scénario pessimiste et basé sur le cas </t>
  </si>
  <si>
    <t xml:space="preserve">de référence, insertion du projet dans le budgét d'investissement </t>
  </si>
  <si>
    <t xml:space="preserve">Les données ci-dessous font resumé de l'étude de fin 2002.  L'objectif du projet est visé sur les trois volets qui seront mise en oeuvre sous l'égide </t>
  </si>
  <si>
    <t>de la direction du Ministère de la Santé en collaboration avec le Ministère de Commerce International et le Ministère de Justice. Le démarrage</t>
  </si>
  <si>
    <t>du projet est envisagé par la construction en l'an 1 et la production à partir de l'année 2, avec une vie du projet de 5 ans.</t>
  </si>
  <si>
    <t>Dép Capital Projet BASA</t>
  </si>
  <si>
    <t>routes rurales goudronnées avec le projet</t>
  </si>
  <si>
    <t xml:space="preserve">     La Compagnie Bonne Route existe depuis 20 ans. Elle a réalisé la construction de plus de</t>
  </si>
  <si>
    <t>Augmentation coût capital de 30%</t>
  </si>
  <si>
    <t>Avec le taux d'intérêt original, le projet n'est pas rentable.  Donc, une augmentation du coût de capital ne valide pas encore moins le projet.</t>
  </si>
  <si>
    <t>Rapport des inscriptions secondaires aux inscriptions primaires</t>
  </si>
  <si>
    <t>taux de recrutement au secondaire</t>
  </si>
  <si>
    <t>comme pourcentage des inscriptions secondaires</t>
  </si>
  <si>
    <t xml:space="preserve">Coût capital annuel par place étudiante </t>
  </si>
  <si>
    <t>Coûts administratifs annuels par place étudiante</t>
  </si>
  <si>
    <t>Coûts d'enseignement par place étudiante</t>
  </si>
  <si>
    <t>Coûts du matériel par place étudiante</t>
  </si>
  <si>
    <t>nombre moyen d'années d'un dîplomé de l'EMP</t>
  </si>
  <si>
    <t>Valeur actuelle des revenus supplémentaires d'un dîplomé de l'EMP</t>
  </si>
  <si>
    <t>4,5</t>
  </si>
  <si>
    <t>Dépenses en capital</t>
  </si>
  <si>
    <t>Valeur du bois conservé</t>
  </si>
  <si>
    <t>taux d'intérêt</t>
  </si>
  <si>
    <t>Coeff. d'Act.</t>
  </si>
  <si>
    <t>Cash Flow</t>
  </si>
  <si>
    <t>VAAN</t>
  </si>
  <si>
    <t>VAN</t>
  </si>
  <si>
    <t>par rapport au cas de référence</t>
  </si>
  <si>
    <t>Cas de référence</t>
  </si>
  <si>
    <t>Augmentation coût capital</t>
  </si>
  <si>
    <t>urbaines.  Faire face à ce défi, le Ministère des Transports est en train de considérer une extension</t>
  </si>
  <si>
    <t xml:space="preserve">du reséau routier.  Basée sur une étude de la situation, la Compagnie Bonne Route (CBR) </t>
  </si>
  <si>
    <t>la construction en l'année 0, et un taux cible de pénétration que pour le nombre de ménages</t>
  </si>
  <si>
    <t>en l'année 1.  Le taux d'intérêt portant sur ce projet est égal au taux directeur de la banque</t>
  </si>
  <si>
    <t>nationale de développement, et la vie du projet est à travers 10 ans, y compris l'année 0.</t>
  </si>
  <si>
    <t>Cadre d'Evaluation</t>
  </si>
  <si>
    <t>Détermination de la VAN</t>
  </si>
  <si>
    <t>Des études médicales démontrent les effets désastreux du SIDA sur les indicateurs humains:</t>
  </si>
  <si>
    <t>baisse de l'espérance de vie, dissolution des structures familiales, chute en la productivité</t>
  </si>
  <si>
    <t xml:space="preserve">agricole et industrielle, en bref, une catastrophe presque inimaginable.  Vu les conséquences </t>
  </si>
  <si>
    <t xml:space="preserve">sur l'économie et la vie sociale, le Ministère de la Santé Publique propose un programme en </t>
  </si>
  <si>
    <t xml:space="preserve">plusieurs volets:  a. un projet de diffusion des préservatifs dans les foyers de santé et un programme </t>
  </si>
  <si>
    <t>la construction que dans les régions rurales.</t>
  </si>
  <si>
    <t>par rapport au prix du cas de référence</t>
  </si>
  <si>
    <t xml:space="preserve">Si le projet est valable du scénario pessimiste et basé sur le cas de référence, </t>
  </si>
  <si>
    <t xml:space="preserve">insertion du projet dans le budgét d'investissement </t>
  </si>
  <si>
    <t>Le Projet Lutte Contre le SIDA</t>
  </si>
  <si>
    <t>Le Projet Ecole Moyenne Pratique</t>
  </si>
  <si>
    <t>salles de cours, des laboratoires, des internats, et une dotation du matériel essentiel. De plus,</t>
  </si>
  <si>
    <t>le projet envisage le recrutement d'une administration, des enseignants, et d'autres personnels</t>
  </si>
  <si>
    <t>afin de soutenir un rapport étudiant-professeur de 35.  Les constructions seront engagés</t>
  </si>
  <si>
    <t>début 2004 et elles seront terminées fin 2005, avec les premiers admis janvier 2006.</t>
  </si>
  <si>
    <t>Un des critères d'une réussite est que la proportion des dîplomés recrutés dans sa première</t>
  </si>
  <si>
    <t>année ne soit pas en dessous de 10 pourcent le nombre des dîplomés du système primaire.</t>
  </si>
  <si>
    <t>Stock de bois de feu</t>
  </si>
  <si>
    <t>taux de croissance du stock du bois de feu</t>
  </si>
  <si>
    <t>Consommation totale annuelle de bois de feu, en tonnes</t>
  </si>
  <si>
    <t>taille moyenne des ménages</t>
  </si>
  <si>
    <t>nombre de ménages</t>
  </si>
  <si>
    <t>Augmentation coût capital de 20%</t>
  </si>
  <si>
    <t>Dép Capital Projet EMP</t>
  </si>
  <si>
    <t>Budgét de fonctionnement EMP</t>
  </si>
  <si>
    <t>Total EMP</t>
  </si>
  <si>
    <t>Objet Budgét CDMT</t>
  </si>
  <si>
    <t xml:space="preserve">plus rapide, le Groupe Energie Optimale (GEO) propose la construction d'une usine de </t>
  </si>
  <si>
    <t xml:space="preserve">l'équilibre entre la production et la consommation forestière.  </t>
  </si>
  <si>
    <t>Population rurale</t>
  </si>
  <si>
    <t>taux de croissance annuelle de consommation de bois de feu par tête</t>
  </si>
  <si>
    <t>Corrigé au  Projet Réseau Routier National</t>
  </si>
  <si>
    <t>Coûts de manutention</t>
  </si>
  <si>
    <t>Revenu supplémentaire</t>
  </si>
  <si>
    <t xml:space="preserve">d'un système scolaire mal adapté et de faire face au problème d'un chômage aïgu et croissant, </t>
  </si>
  <si>
    <t>le Ministère de l'Education Nationale envisage la création d'un système d'enseignement moyen pratique.</t>
  </si>
  <si>
    <t>L'école moyenne pratique (EMP) absorbera les dîplomés du système primaire qui ne sont pas</t>
  </si>
  <si>
    <t>admis aux cycles secondaires tels comme l'enseignement dans les collèges, et les lycées</t>
  </si>
  <si>
    <t>somme cash flow</t>
  </si>
  <si>
    <t>au service en l'année 3 avec une durée de vie de 7 ans. 2 500 km seront construits chaque année.</t>
  </si>
  <si>
    <t>Un deuxième critère est que le taux de rentabilité du projet ne doit pas moins que 50 pourcent</t>
  </si>
  <si>
    <t>au dessus du taux directeur du Ministère des Finances.</t>
  </si>
  <si>
    <t>taux de scolarisation primaire de la population rurale</t>
  </si>
  <si>
    <t>Taux de promotion des dîplomés du système primaire</t>
  </si>
  <si>
    <t>Objet Budgét CDMD Projet Lutte Contre le SIDA</t>
  </si>
  <si>
    <t>Budgét de fonctionnement Projet Lutte Contre le SIDA</t>
  </si>
  <si>
    <t>Dépenses de fonctionnement Projet Lutte SIDA</t>
  </si>
  <si>
    <t>Budgét de fonctionnement Projet Bois Forestier</t>
  </si>
  <si>
    <t>Projet bois forestier</t>
  </si>
  <si>
    <t>p.m.</t>
  </si>
  <si>
    <t>Projet Routier Goudronnage</t>
  </si>
  <si>
    <t>Projet Lutte contre le SIDA</t>
  </si>
  <si>
    <t>Projet EMP</t>
  </si>
  <si>
    <t>Corrigé Budgét Cadre de Dépenses à Moyen Terme</t>
  </si>
  <si>
    <t>Dépenses totales</t>
  </si>
  <si>
    <t>Projet BASA</t>
  </si>
  <si>
    <t>Corrigé Budgét de fonctionnement</t>
  </si>
  <si>
    <t>Corrigé au Projet Ecole Moyenne Pratique</t>
  </si>
  <si>
    <t>taux de recrutement à l'EMP, comme % des inscriptions secondaires</t>
  </si>
  <si>
    <t>dépenses annuelles totales</t>
  </si>
  <si>
    <t>VA des revenus supplémentaires d'un dîplomé de l'EMP</t>
  </si>
  <si>
    <t>coûts de transport des biens et des services.  Pour les populations enclavées dans les régions</t>
  </si>
  <si>
    <t>rurales, le PIB réel par tête ne dépasse typiquement plus de 50 pourcent du niveau des populations</t>
  </si>
  <si>
    <t>PIB rurale, en millions de FCFA</t>
  </si>
  <si>
    <t>Population nationale</t>
  </si>
  <si>
    <t>PIB national, en millions de FCFA</t>
  </si>
  <si>
    <t>superficie nationale, en km^2</t>
  </si>
  <si>
    <t>routes goudronnées par km^2</t>
  </si>
  <si>
    <t>routes goudronnées en km. par tête</t>
  </si>
  <si>
    <t>densité démographique nationale</t>
  </si>
  <si>
    <t>routes totales goudronnées, en km.</t>
  </si>
  <si>
    <t>routes rurales goudronnées, en km.</t>
  </si>
  <si>
    <t>routes rurales goudronnées en km. par tête</t>
  </si>
  <si>
    <t>coût capital de construction par km., en FCFA</t>
  </si>
  <si>
    <t>coût unitaire annuel de manutention par km., en FCFA</t>
  </si>
  <si>
    <t>PIB rurale par tête, en FCFA</t>
  </si>
  <si>
    <t>PIB national par tête, en FCFA</t>
  </si>
  <si>
    <t>revenu supplémentaire annuel par km. supplémentaire construit</t>
  </si>
  <si>
    <t xml:space="preserve">est en train de répondre à un offre d'appel sur les données suivantes. La CBR propose la </t>
  </si>
  <si>
    <t xml:space="preserve">construction de 5000 km. Des routes goudronnées pendant les années 0 et 1, avec une mise </t>
  </si>
  <si>
    <t>Les données ci-dessous font resumé de l'étude de fin 2002.  L'objectif du projet est visé sur</t>
  </si>
  <si>
    <t>Taux d'intérêt</t>
  </si>
  <si>
    <t>Coeff d'Act.</t>
  </si>
  <si>
    <t>TRI</t>
  </si>
  <si>
    <t>classiques et techniques.  Afin de réaliser le nouveau cycle, on envisage la construction de</t>
  </si>
  <si>
    <t>10 écoles, chacune qui comprennent une capacité d'absorption de 1000 élèves, avec des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</si>
</sst>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000\ 000"/>
    <numFmt numFmtId="173" formatCode="0\ 000"/>
    <numFmt numFmtId="174" formatCode="0\ 000\ 000\ 000"/>
    <numFmt numFmtId="175" formatCode="000\ 000\ 000"/>
    <numFmt numFmtId="176" formatCode="000"/>
    <numFmt numFmtId="177" formatCode="00"/>
    <numFmt numFmtId="178" formatCode="0.0000"/>
    <numFmt numFmtId="179" formatCode="\=\ 0.00%"/>
    <numFmt numFmtId="180" formatCode="0\ 000\ 000\ 000\ "/>
    <numFmt numFmtId="181" formatCode="000\ 000\ 000\ 000"/>
    <numFmt numFmtId="182" formatCode="0\ 000\ 000\ 000\ 000"/>
    <numFmt numFmtId="183" formatCode="0\ 000\ 000\ 000\ 000\ "/>
  </numFmts>
  <fonts count="5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sz val="8.75"/>
      <color indexed="8"/>
      <name val="Helv"/>
      <family val="0"/>
    </font>
    <font>
      <sz val="9.25"/>
      <color indexed="8"/>
      <name val="Helv"/>
      <family val="0"/>
    </font>
    <font>
      <sz val="9"/>
      <color indexed="8"/>
      <name val="Helv"/>
      <family val="0"/>
    </font>
    <font>
      <sz val="8.05"/>
      <color indexed="8"/>
      <name val="Helv"/>
      <family val="0"/>
    </font>
    <font>
      <sz val="8.25"/>
      <color indexed="8"/>
      <name val="Helv"/>
      <family val="0"/>
    </font>
    <font>
      <sz val="7.55"/>
      <color indexed="8"/>
      <name val="Helv"/>
      <family val="0"/>
    </font>
    <font>
      <sz val="8.5"/>
      <color indexed="8"/>
      <name val="Helv"/>
      <family val="0"/>
    </font>
    <font>
      <sz val="9.5"/>
      <color indexed="8"/>
      <name val="Helv"/>
      <family val="0"/>
    </font>
    <font>
      <sz val="8"/>
      <color indexed="8"/>
      <name val="Helv"/>
      <family val="0"/>
    </font>
    <font>
      <sz val="12"/>
      <color indexed="8"/>
      <name val="Helv"/>
      <family val="2"/>
    </font>
    <font>
      <sz val="12"/>
      <color indexed="9"/>
      <name val="Helv"/>
      <family val="2"/>
    </font>
    <font>
      <sz val="12"/>
      <color indexed="14"/>
      <name val="Helv"/>
      <family val="2"/>
    </font>
    <font>
      <b/>
      <sz val="12"/>
      <color indexed="52"/>
      <name val="Helv"/>
      <family val="2"/>
    </font>
    <font>
      <b/>
      <sz val="12"/>
      <color indexed="9"/>
      <name val="Helv"/>
      <family val="2"/>
    </font>
    <font>
      <i/>
      <sz val="12"/>
      <color indexed="23"/>
      <name val="Helv"/>
      <family val="2"/>
    </font>
    <font>
      <sz val="12"/>
      <color indexed="17"/>
      <name val="Helv"/>
      <family val="2"/>
    </font>
    <font>
      <b/>
      <sz val="15"/>
      <color indexed="62"/>
      <name val="Helv"/>
      <family val="2"/>
    </font>
    <font>
      <b/>
      <sz val="13"/>
      <color indexed="62"/>
      <name val="Helv"/>
      <family val="2"/>
    </font>
    <font>
      <b/>
      <sz val="11"/>
      <color indexed="62"/>
      <name val="Helv"/>
      <family val="2"/>
    </font>
    <font>
      <sz val="12"/>
      <color indexed="62"/>
      <name val="Helv"/>
      <family val="2"/>
    </font>
    <font>
      <sz val="12"/>
      <color indexed="52"/>
      <name val="Helv"/>
      <family val="2"/>
    </font>
    <font>
      <sz val="12"/>
      <color indexed="60"/>
      <name val="Helv"/>
      <family val="2"/>
    </font>
    <font>
      <b/>
      <sz val="12"/>
      <color indexed="63"/>
      <name val="Helv"/>
      <family val="2"/>
    </font>
    <font>
      <b/>
      <sz val="18"/>
      <color indexed="62"/>
      <name val="Cambria"/>
      <family val="2"/>
    </font>
    <font>
      <b/>
      <sz val="12"/>
      <color indexed="8"/>
      <name val="Helv"/>
      <family val="2"/>
    </font>
    <font>
      <sz val="12"/>
      <color indexed="10"/>
      <name val="Helv"/>
      <family val="2"/>
    </font>
    <font>
      <b/>
      <sz val="9.25"/>
      <color indexed="12"/>
      <name val="Helv"/>
      <family val="0"/>
    </font>
    <font>
      <b/>
      <sz val="11"/>
      <color indexed="12"/>
      <name val="Helv"/>
      <family val="0"/>
    </font>
    <font>
      <b/>
      <sz val="11.25"/>
      <color indexed="12"/>
      <name val="Helv"/>
      <family val="0"/>
    </font>
    <font>
      <sz val="12"/>
      <color theme="1"/>
      <name val="Helv"/>
      <family val="2"/>
    </font>
    <font>
      <sz val="12"/>
      <color theme="0"/>
      <name val="Helv"/>
      <family val="2"/>
    </font>
    <font>
      <sz val="12"/>
      <color rgb="FF9C0006"/>
      <name val="Helv"/>
      <family val="2"/>
    </font>
    <font>
      <b/>
      <sz val="12"/>
      <color rgb="FFFA7D00"/>
      <name val="Helv"/>
      <family val="2"/>
    </font>
    <font>
      <b/>
      <sz val="12"/>
      <color theme="0"/>
      <name val="Helv"/>
      <family val="2"/>
    </font>
    <font>
      <i/>
      <sz val="12"/>
      <color rgb="FF7F7F7F"/>
      <name val="Helv"/>
      <family val="2"/>
    </font>
    <font>
      <sz val="12"/>
      <color rgb="FF006100"/>
      <name val="Helv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sz val="12"/>
      <color rgb="FF3F3F76"/>
      <name val="Helv"/>
      <family val="2"/>
    </font>
    <font>
      <sz val="12"/>
      <color rgb="FFFA7D00"/>
      <name val="Helv"/>
      <family val="2"/>
    </font>
    <font>
      <sz val="12"/>
      <color rgb="FF9C6500"/>
      <name val="Helv"/>
      <family val="2"/>
    </font>
    <font>
      <b/>
      <sz val="12"/>
      <color rgb="FF3F3F3F"/>
      <name val="Helv"/>
      <family val="2"/>
    </font>
    <font>
      <b/>
      <sz val="18"/>
      <color theme="3"/>
      <name val="Cambria"/>
      <family val="2"/>
    </font>
    <font>
      <b/>
      <sz val="12"/>
      <color theme="1"/>
      <name val="Helv"/>
      <family val="2"/>
    </font>
    <font>
      <sz val="12"/>
      <color rgb="FFFF0000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  <xf numFmtId="174" fontId="0" fillId="0" borderId="13" xfId="0" applyNumberFormat="1" applyBorder="1" applyAlignment="1">
      <alignment/>
    </xf>
    <xf numFmtId="10" fontId="0" fillId="0" borderId="0" xfId="0" applyNumberFormat="1" applyAlignment="1">
      <alignment horizontal="center"/>
    </xf>
    <xf numFmtId="0" fontId="4" fillId="0" borderId="11" xfId="0" applyFont="1" applyBorder="1" applyAlignment="1">
      <alignment/>
    </xf>
    <xf numFmtId="2" fontId="5" fillId="0" borderId="0" xfId="0" applyNumberFormat="1" applyFont="1" applyAlignment="1">
      <alignment/>
    </xf>
    <xf numFmtId="172" fontId="0" fillId="0" borderId="13" xfId="0" applyNumberFormat="1" applyFont="1" applyBorder="1" applyAlignment="1">
      <alignment horizontal="right"/>
    </xf>
    <xf numFmtId="173" fontId="0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179" fontId="5" fillId="0" borderId="0" xfId="0" applyNumberFormat="1" applyFont="1" applyAlignment="1">
      <alignment/>
    </xf>
    <xf numFmtId="174" fontId="0" fillId="0" borderId="13" xfId="0" applyNumberFormat="1" applyFont="1" applyBorder="1" applyAlignment="1">
      <alignment horizontal="right"/>
    </xf>
    <xf numFmtId="175" fontId="0" fillId="0" borderId="13" xfId="0" applyNumberFormat="1" applyFont="1" applyBorder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172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78" fontId="5" fillId="0" borderId="13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72" fontId="5" fillId="0" borderId="0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175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8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178" fontId="5" fillId="0" borderId="13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72" fontId="5" fillId="0" borderId="13" xfId="0" applyNumberFormat="1" applyFont="1" applyBorder="1" applyAlignment="1">
      <alignment horizontal="right"/>
    </xf>
    <xf numFmtId="173" fontId="5" fillId="0" borderId="13" xfId="0" applyNumberFormat="1" applyFont="1" applyBorder="1" applyAlignment="1">
      <alignment horizontal="right"/>
    </xf>
    <xf numFmtId="182" fontId="5" fillId="0" borderId="13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0" fontId="5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78" fontId="5" fillId="0" borderId="13" xfId="0" applyNumberFormat="1" applyFont="1" applyBorder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181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Cas de R?f?rence 
</a:t>
            </a:r>
            <a:r>
              <a:rPr lang="en-US" cap="none" sz="9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Le Projet R?seau Routier National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64"/>
          <c:w val="0.967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Sheet2!$D$27:$N$27</c:f>
              <c:numCache/>
            </c:numRef>
          </c:cat>
          <c:val>
            <c:numRef>
              <c:f>Sheet2!$D$44:$N$44</c:f>
              <c:numCache/>
            </c:numRef>
          </c:val>
        </c:ser>
        <c:ser>
          <c:idx val="1"/>
          <c:order val="1"/>
          <c:tx>
            <c:v>VAAN</c:v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Sheet2!$D$27:$N$27</c:f>
              <c:numCache/>
            </c:numRef>
          </c:cat>
          <c:val>
            <c:numRef>
              <c:f>Sheet2!$D$47:$N$47</c:f>
              <c:numCache/>
            </c:numRef>
          </c:val>
        </c:ser>
        <c:axId val="45420032"/>
        <c:axId val="6127105"/>
      </c:bar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6127105"/>
        <c:crosses val="autoZero"/>
        <c:auto val="1"/>
        <c:lblOffset val="100"/>
        <c:tickLblSkip val="1"/>
        <c:noMultiLvlLbl val="0"/>
      </c:catAx>
      <c:valAx>
        <c:axId val="612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4542003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25"/>
          <c:y val="0.907"/>
          <c:w val="0.164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Routes Goundronn?es par T?te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75"/>
          <c:y val="0.093"/>
          <c:w val="0.9765"/>
          <c:h val="0.844"/>
        </c:manualLayout>
      </c:layout>
      <c:lineChart>
        <c:grouping val="standard"/>
        <c:varyColors val="0"/>
        <c:ser>
          <c:idx val="0"/>
          <c:order val="0"/>
          <c:tx>
            <c:v>Avec le Projet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Sheet2!$D$56:$N$56</c:f>
              <c:numCache/>
            </c:numRef>
          </c:cat>
          <c:val>
            <c:numRef>
              <c:f>Sheet2!$D$60:$N$60</c:f>
              <c:numCache/>
            </c:numRef>
          </c:val>
          <c:smooth val="0"/>
        </c:ser>
        <c:ser>
          <c:idx val="1"/>
          <c:order val="1"/>
          <c:tx>
            <c:v>Sans le Projet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Sheet2!$D$56:$N$56</c:f>
              <c:numCache/>
            </c:numRef>
          </c:cat>
          <c:val>
            <c:numRef>
              <c:f>Sheet2!$D$61:$N$61</c:f>
              <c:numCache/>
            </c:numRef>
          </c:val>
          <c:smooth val="0"/>
        </c:ser>
        <c:marker val="1"/>
        <c:axId val="55143946"/>
        <c:axId val="26533467"/>
      </c:line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514394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"/>
          <c:y val="0.95075"/>
          <c:w val="0.307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Corrig? au Projet contre le SIDA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945"/>
          <c:w val="0.968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Sheet3!$E$36:$I$36</c:f>
              <c:numCache/>
            </c:numRef>
          </c:val>
        </c:ser>
        <c:ser>
          <c:idx val="1"/>
          <c:order val="1"/>
          <c:tx>
            <c:v>VAAN</c:v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Sheet3!$E$39:$I$39</c:f>
              <c:numCache/>
            </c:numRef>
          </c:val>
        </c:ser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727189"/>
        <c:crosses val="autoZero"/>
        <c:auto val="1"/>
        <c:lblOffset val="100"/>
        <c:tickLblSkip val="1"/>
        <c:noMultiLvlLbl val="0"/>
      </c:catAx>
      <c:valAx>
        <c:axId val="172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3747461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2"/>
          <c:y val="0.889"/>
          <c:w val="0.165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Corrig? au Projet EMP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25"/>
          <c:y val="0.13"/>
          <c:w val="0.9577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Sheet4!$C$67:$I$67</c:f>
              <c:numCache/>
            </c:numRef>
          </c:cat>
          <c:val>
            <c:numRef>
              <c:f>Sheet4!$C$74:$I$74</c:f>
              <c:numCache/>
            </c:numRef>
          </c:val>
        </c:ser>
        <c:ser>
          <c:idx val="1"/>
          <c:order val="1"/>
          <c:tx>
            <c:v>VAAN</c:v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Sheet4!$C$67:$I$67</c:f>
              <c:numCache/>
            </c:numRef>
          </c:cat>
          <c:val>
            <c:numRef>
              <c:f>Sheet4!$C$77:$I$77</c:f>
              <c:numCache/>
            </c:numRef>
          </c:val>
        </c:ser>
        <c:axId val="15544702"/>
        <c:axId val="5684591"/>
      </c:bar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684591"/>
        <c:crosses val="autoZero"/>
        <c:auto val="1"/>
        <c:lblOffset val="100"/>
        <c:tickLblSkip val="1"/>
        <c:tickMarkSkip val="2"/>
        <c:noMultiLvlLbl val="0"/>
      </c:catAx>
      <c:valAx>
        <c:axId val="5684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1554470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"/>
          <c:y val="0.8795"/>
          <c:w val="0.23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Cas de R?f?rence
</a:t>
            </a:r>
            <a:r>
              <a:rPr lang="en-US" cap="none" sz="11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Le Projet Ban Ak Souf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2"/>
          <c:w val="0.982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Sheet8!$C$36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Sheet8!$D$36:$M$36</c:f>
              <c:numCache/>
            </c:numRef>
          </c:val>
        </c:ser>
        <c:ser>
          <c:idx val="1"/>
          <c:order val="1"/>
          <c:tx>
            <c:v>VAAN</c:v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Sheet8!$D$39:$M$39</c:f>
              <c:numCache/>
            </c:numRef>
          </c:val>
        </c:ser>
        <c:axId val="51161320"/>
        <c:axId val="57798697"/>
      </c:bar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116132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2"/>
          <c:y val="0.9085"/>
          <c:w val="0.196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Stocks du Bois Forestier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75"/>
          <c:y val="0.20225"/>
          <c:w val="0.922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v>Syst?me Traditionnel</c:v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Sheet8!$D$63:$M$63</c:f>
              <c:numCache/>
            </c:numRef>
          </c:val>
        </c:ser>
        <c:ser>
          <c:idx val="1"/>
          <c:order val="1"/>
          <c:tx>
            <c:v>Syst?me Ban Ak Souf</c:v>
          </c:tx>
          <c:spPr>
            <a:pattFill prst="dkDnDiag">
              <a:fgClr>
                <a:srgbClr val="FFFF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Sheet8!$D$70:$M$70</c:f>
              <c:numCache/>
            </c:numRef>
          </c:val>
        </c:ser>
        <c:axId val="50426226"/>
        <c:axId val="51182851"/>
      </c:bar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</a:p>
        </c:txPr>
        <c:crossAx val="5042622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86"/>
          <c:w val="0.383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161925</xdr:rowOff>
    </xdr:from>
    <xdr:to>
      <xdr:col>12</xdr:col>
      <xdr:colOff>981075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733925" y="1181100"/>
        <a:ext cx="6915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876300</xdr:colOff>
      <xdr:row>62</xdr:row>
      <xdr:rowOff>28575</xdr:rowOff>
    </xdr:from>
    <xdr:to>
      <xdr:col>11</xdr:col>
      <xdr:colOff>285750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3505200" y="10715625"/>
        <a:ext cx="64579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8</xdr:row>
      <xdr:rowOff>19050</xdr:rowOff>
    </xdr:from>
    <xdr:to>
      <xdr:col>13</xdr:col>
      <xdr:colOff>409575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5219700" y="1371600"/>
        <a:ext cx="7334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85725</xdr:rowOff>
    </xdr:from>
    <xdr:to>
      <xdr:col>9</xdr:col>
      <xdr:colOff>1057275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133975" y="742950"/>
        <a:ext cx="53149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142875</xdr:rowOff>
    </xdr:from>
    <xdr:to>
      <xdr:col>12</xdr:col>
      <xdr:colOff>1009650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953125" y="809625"/>
        <a:ext cx="6191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84</xdr:row>
      <xdr:rowOff>95250</xdr:rowOff>
    </xdr:from>
    <xdr:to>
      <xdr:col>11</xdr:col>
      <xdr:colOff>76200</xdr:colOff>
      <xdr:row>104</xdr:row>
      <xdr:rowOff>47625</xdr:rowOff>
    </xdr:to>
    <xdr:graphicFrame>
      <xdr:nvGraphicFramePr>
        <xdr:cNvPr id="2" name="Chart 2"/>
        <xdr:cNvGraphicFramePr/>
      </xdr:nvGraphicFramePr>
      <xdr:xfrm>
        <a:off x="3638550" y="14506575"/>
        <a:ext cx="65341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57"/>
  <sheetViews>
    <sheetView tabSelected="1" workbookViewId="0" topLeftCell="A1">
      <selection activeCell="A3" sqref="A3"/>
    </sheetView>
  </sheetViews>
  <sheetFormatPr defaultColWidth="11.5546875" defaultRowHeight="15.75"/>
  <cols>
    <col min="1" max="1" width="3.4453125" style="0" customWidth="1"/>
    <col min="2" max="2" width="2.10546875" style="0" customWidth="1"/>
    <col min="3" max="3" width="12.99609375" style="0" customWidth="1"/>
    <col min="7" max="7" width="10.88671875" style="0" bestFit="1" customWidth="1"/>
    <col min="8" max="8" width="14.99609375" style="0" bestFit="1" customWidth="1"/>
    <col min="9" max="9" width="6.88671875" style="0" customWidth="1"/>
    <col min="10" max="10" width="5.3359375" style="0" customWidth="1"/>
    <col min="11" max="12" width="4.6640625" style="0" customWidth="1"/>
    <col min="13" max="13" width="2.4453125" style="0" customWidth="1"/>
    <col min="20" max="20" width="8.88671875" style="0" customWidth="1"/>
    <col min="21" max="22" width="6.3359375" style="0" customWidth="1"/>
    <col min="23" max="23" width="5.3359375" style="0" customWidth="1"/>
    <col min="24" max="24" width="3.10546875" style="0" customWidth="1"/>
    <col min="25" max="25" width="5.5546875" style="0" customWidth="1"/>
    <col min="29" max="29" width="14.4453125" style="0" bestFit="1" customWidth="1"/>
    <col min="30" max="31" width="7.3359375" style="0" customWidth="1"/>
    <col min="32" max="32" width="5.88671875" style="0" customWidth="1"/>
    <col min="33" max="34" width="6.10546875" style="0" customWidth="1"/>
    <col min="35" max="35" width="3.99609375" style="0" customWidth="1"/>
    <col min="36" max="36" width="3.3359375" style="0" customWidth="1"/>
    <col min="37" max="37" width="3.4453125" style="0" customWidth="1"/>
    <col min="41" max="41" width="10.88671875" style="0" customWidth="1"/>
    <col min="44" max="44" width="6.6640625" style="0" customWidth="1"/>
    <col min="45" max="45" width="5.88671875" style="0" customWidth="1"/>
    <col min="46" max="47" width="5.3359375" style="0" customWidth="1"/>
    <col min="48" max="48" width="4.5546875" style="0" customWidth="1"/>
  </cols>
  <sheetData>
    <row r="1" ht="13.5" thickBot="1"/>
    <row r="2" spans="5:42" ht="13.5" thickBot="1">
      <c r="E2" s="1"/>
      <c r="F2" s="2" t="s">
        <v>112</v>
      </c>
      <c r="G2" s="3"/>
      <c r="P2" s="1"/>
      <c r="Q2" s="2" t="s">
        <v>46</v>
      </c>
      <c r="R2" s="3"/>
      <c r="AA2" s="1"/>
      <c r="AB2" s="2" t="s">
        <v>164</v>
      </c>
      <c r="AC2" s="3"/>
      <c r="AN2" s="1"/>
      <c r="AO2" s="2" t="s">
        <v>165</v>
      </c>
      <c r="AP2" s="3"/>
    </row>
    <row r="3" spans="2:44" ht="12.75">
      <c r="B3" s="43" t="s">
        <v>87</v>
      </c>
      <c r="I3" s="43" t="s">
        <v>88</v>
      </c>
      <c r="M3" s="43" t="s">
        <v>87</v>
      </c>
      <c r="T3" s="43" t="s">
        <v>88</v>
      </c>
      <c r="X3" s="43" t="s">
        <v>87</v>
      </c>
      <c r="AE3" s="43" t="s">
        <v>88</v>
      </c>
      <c r="AJ3" s="43" t="s">
        <v>87</v>
      </c>
      <c r="AR3" s="43" t="s">
        <v>88</v>
      </c>
    </row>
    <row r="4" spans="2:36" ht="12.75">
      <c r="B4" s="4" t="s">
        <v>103</v>
      </c>
      <c r="M4" s="4" t="s">
        <v>103</v>
      </c>
      <c r="X4" s="4" t="s">
        <v>103</v>
      </c>
      <c r="AJ4" s="4" t="s">
        <v>103</v>
      </c>
    </row>
    <row r="5" spans="3:37" ht="12.75">
      <c r="C5" t="s">
        <v>104</v>
      </c>
      <c r="N5" t="s">
        <v>114</v>
      </c>
      <c r="Y5" t="s">
        <v>155</v>
      </c>
      <c r="AK5" t="s">
        <v>47</v>
      </c>
    </row>
    <row r="6" spans="3:37" ht="12.75">
      <c r="C6" t="s">
        <v>105</v>
      </c>
      <c r="N6" t="s">
        <v>216</v>
      </c>
      <c r="Y6" t="s">
        <v>156</v>
      </c>
      <c r="AK6" t="s">
        <v>48</v>
      </c>
    </row>
    <row r="7" spans="3:37" ht="12.75">
      <c r="C7" t="s">
        <v>89</v>
      </c>
      <c r="N7" t="s">
        <v>217</v>
      </c>
      <c r="Y7" t="s">
        <v>157</v>
      </c>
      <c r="AK7" t="s">
        <v>49</v>
      </c>
    </row>
    <row r="8" spans="3:37" ht="12.75">
      <c r="C8" t="s">
        <v>90</v>
      </c>
      <c r="N8" t="s">
        <v>148</v>
      </c>
      <c r="Y8" t="s">
        <v>158</v>
      </c>
      <c r="AK8" t="s">
        <v>50</v>
      </c>
    </row>
    <row r="9" spans="3:37" ht="12.75">
      <c r="C9" t="s">
        <v>106</v>
      </c>
      <c r="N9" t="s">
        <v>149</v>
      </c>
      <c r="Y9" t="s">
        <v>159</v>
      </c>
      <c r="AK9" t="s">
        <v>51</v>
      </c>
    </row>
    <row r="10" spans="3:37" ht="12.75">
      <c r="C10" t="s">
        <v>107</v>
      </c>
      <c r="N10" t="s">
        <v>233</v>
      </c>
      <c r="Y10" t="s">
        <v>92</v>
      </c>
      <c r="AK10" t="s">
        <v>52</v>
      </c>
    </row>
    <row r="11" spans="3:37" ht="12.75">
      <c r="C11" t="s">
        <v>108</v>
      </c>
      <c r="N11" t="s">
        <v>234</v>
      </c>
      <c r="Y11" t="s">
        <v>99</v>
      </c>
      <c r="AK11" t="s">
        <v>53</v>
      </c>
    </row>
    <row r="12" spans="3:37" ht="12.75">
      <c r="C12" t="s">
        <v>109</v>
      </c>
      <c r="N12" t="s">
        <v>194</v>
      </c>
      <c r="Y12" t="s">
        <v>100</v>
      </c>
      <c r="AK12" t="s">
        <v>54</v>
      </c>
    </row>
    <row r="13" spans="3:37" ht="12.75">
      <c r="C13" t="s">
        <v>110</v>
      </c>
      <c r="N13" t="s">
        <v>125</v>
      </c>
      <c r="Y13" t="s">
        <v>101</v>
      </c>
      <c r="AK13" t="s">
        <v>55</v>
      </c>
    </row>
    <row r="14" spans="3:44" ht="12.75">
      <c r="C14" t="s">
        <v>182</v>
      </c>
      <c r="N14" t="s">
        <v>91</v>
      </c>
      <c r="T14" s="7"/>
      <c r="Y14" t="s">
        <v>32</v>
      </c>
      <c r="AE14" s="7"/>
      <c r="AK14" t="s">
        <v>189</v>
      </c>
      <c r="AR14" s="7"/>
    </row>
    <row r="15" spans="3:37" ht="12.75">
      <c r="C15" t="s">
        <v>17</v>
      </c>
      <c r="N15" t="s">
        <v>102</v>
      </c>
      <c r="AK15" t="s">
        <v>190</v>
      </c>
    </row>
    <row r="16" spans="3:37" ht="12.75">
      <c r="C16" t="s">
        <v>183</v>
      </c>
      <c r="N16" t="s">
        <v>40</v>
      </c>
      <c r="AK16" t="s">
        <v>191</v>
      </c>
    </row>
    <row r="17" ht="12.75">
      <c r="AK17" t="s">
        <v>192</v>
      </c>
    </row>
    <row r="18" spans="2:37" ht="12.75">
      <c r="B18" s="4" t="s">
        <v>111</v>
      </c>
      <c r="M18" s="4" t="s">
        <v>111</v>
      </c>
      <c r="X18" s="4" t="s">
        <v>111</v>
      </c>
      <c r="AK18" t="s">
        <v>239</v>
      </c>
    </row>
    <row r="19" spans="2:37" ht="12.75">
      <c r="B19" s="4"/>
      <c r="C19" t="s">
        <v>82</v>
      </c>
      <c r="N19" t="s">
        <v>235</v>
      </c>
      <c r="Y19" t="s">
        <v>235</v>
      </c>
      <c r="AK19" t="s">
        <v>240</v>
      </c>
    </row>
    <row r="20" spans="2:37" ht="12.75">
      <c r="B20" s="4"/>
      <c r="C20" t="s">
        <v>150</v>
      </c>
      <c r="N20" t="s">
        <v>160</v>
      </c>
      <c r="Y20" t="s">
        <v>33</v>
      </c>
      <c r="AK20" t="s">
        <v>166</v>
      </c>
    </row>
    <row r="21" spans="2:37" ht="12.75">
      <c r="B21" s="4"/>
      <c r="C21" t="s">
        <v>151</v>
      </c>
      <c r="P21" s="5"/>
      <c r="Y21" t="s">
        <v>34</v>
      </c>
      <c r="AK21" t="s">
        <v>167</v>
      </c>
    </row>
    <row r="22" spans="2:37" ht="12.75">
      <c r="B22" s="4"/>
      <c r="C22" t="s">
        <v>152</v>
      </c>
      <c r="Y22" t="s">
        <v>95</v>
      </c>
      <c r="AK22" t="s">
        <v>168</v>
      </c>
    </row>
    <row r="23" spans="2:37" ht="12.75">
      <c r="B23" s="4"/>
      <c r="C23" t="s">
        <v>45</v>
      </c>
      <c r="Y23" t="s">
        <v>96</v>
      </c>
      <c r="AK23" t="s">
        <v>169</v>
      </c>
    </row>
    <row r="24" spans="2:37" ht="13.5" thickBot="1">
      <c r="B24" s="4"/>
      <c r="H24" s="8">
        <v>2003</v>
      </c>
      <c r="I24" s="8"/>
      <c r="R24" s="8">
        <v>2003</v>
      </c>
      <c r="AC24" s="8">
        <v>2003</v>
      </c>
      <c r="AK24" t="s">
        <v>170</v>
      </c>
    </row>
    <row r="25" spans="7:37" ht="13.5" thickBot="1">
      <c r="G25" s="5" t="s">
        <v>184</v>
      </c>
      <c r="H25" s="9">
        <v>23000000</v>
      </c>
      <c r="Q25" s="5" t="s">
        <v>184</v>
      </c>
      <c r="R25" s="17">
        <f>$H$25</f>
        <v>23000000</v>
      </c>
      <c r="AB25" s="5" t="s">
        <v>219</v>
      </c>
      <c r="AC25" s="17">
        <f>R29</f>
        <v>37000000</v>
      </c>
      <c r="AK25" t="s">
        <v>171</v>
      </c>
    </row>
    <row r="26" spans="7:37" ht="13.5" thickBot="1">
      <c r="G26" s="5" t="s">
        <v>175</v>
      </c>
      <c r="H26" s="10">
        <v>6</v>
      </c>
      <c r="Q26" s="5" t="s">
        <v>36</v>
      </c>
      <c r="R26" s="11">
        <f>$H$28</f>
        <v>0.03</v>
      </c>
      <c r="AB26" s="5" t="s">
        <v>38</v>
      </c>
      <c r="AC26" s="11">
        <v>0.0275</v>
      </c>
      <c r="AK26" t="s">
        <v>195</v>
      </c>
    </row>
    <row r="27" spans="7:37" ht="13.5" thickBot="1">
      <c r="G27" s="5" t="s">
        <v>176</v>
      </c>
      <c r="H27" s="9">
        <f>H25/H26</f>
        <v>3833333.3333333335</v>
      </c>
      <c r="Q27" s="5" t="s">
        <v>218</v>
      </c>
      <c r="R27" s="17">
        <v>2372485</v>
      </c>
      <c r="AB27" s="5" t="s">
        <v>220</v>
      </c>
      <c r="AC27" s="17">
        <f>R30</f>
        <v>7633212</v>
      </c>
      <c r="AK27" t="s">
        <v>196</v>
      </c>
    </row>
    <row r="28" spans="7:36" ht="13.5" thickBot="1">
      <c r="G28" s="5" t="s">
        <v>36</v>
      </c>
      <c r="H28" s="11">
        <v>0.03</v>
      </c>
      <c r="Q28" s="5" t="s">
        <v>230</v>
      </c>
      <c r="R28" s="18">
        <f>($R$27*10^6)/$R$25</f>
        <v>103151.52173913043</v>
      </c>
      <c r="AB28" s="5" t="s">
        <v>231</v>
      </c>
      <c r="AC28" s="18">
        <f>R31</f>
        <v>206303.02702702704</v>
      </c>
      <c r="AJ28" s="4" t="s">
        <v>111</v>
      </c>
    </row>
    <row r="29" spans="7:37" ht="13.5" thickBot="1">
      <c r="G29" s="5" t="s">
        <v>74</v>
      </c>
      <c r="H29" s="11">
        <v>0.03</v>
      </c>
      <c r="Q29" s="5" t="s">
        <v>219</v>
      </c>
      <c r="R29" s="17">
        <v>37000000</v>
      </c>
      <c r="AB29" s="5" t="s">
        <v>35</v>
      </c>
      <c r="AC29" s="17">
        <v>3700000</v>
      </c>
      <c r="AD29" s="24">
        <v>0.1</v>
      </c>
      <c r="AE29" s="6" t="s">
        <v>37</v>
      </c>
      <c r="AK29" t="s">
        <v>235</v>
      </c>
    </row>
    <row r="30" spans="7:37" ht="13.5" thickBot="1">
      <c r="G30" s="5" t="s">
        <v>174</v>
      </c>
      <c r="H30" s="9">
        <f>H29*H32</f>
        <v>13500000</v>
      </c>
      <c r="Q30" s="5" t="s">
        <v>220</v>
      </c>
      <c r="R30" s="17">
        <v>7633212</v>
      </c>
      <c r="AB30" s="5" t="s">
        <v>93</v>
      </c>
      <c r="AC30" s="18">
        <f>AD30*AC29</f>
        <v>925000</v>
      </c>
      <c r="AD30" s="24">
        <v>0.25</v>
      </c>
      <c r="AE30" s="6" t="s">
        <v>39</v>
      </c>
      <c r="AK30" t="s">
        <v>160</v>
      </c>
    </row>
    <row r="31" spans="3:41" ht="13.5" thickBot="1">
      <c r="C31" s="5"/>
      <c r="G31" s="5" t="s">
        <v>185</v>
      </c>
      <c r="H31" s="11">
        <v>0.035</v>
      </c>
      <c r="Q31" s="5" t="s">
        <v>231</v>
      </c>
      <c r="R31" s="18">
        <f>($R$30*10^6)/$R$29</f>
        <v>206303.02702702704</v>
      </c>
      <c r="AB31" s="5" t="s">
        <v>94</v>
      </c>
      <c r="AC31" s="18">
        <v>480380</v>
      </c>
      <c r="AO31" s="8">
        <v>2003</v>
      </c>
    </row>
    <row r="32" spans="3:41" ht="13.5" thickBot="1">
      <c r="C32" s="5"/>
      <c r="G32" s="5" t="s">
        <v>172</v>
      </c>
      <c r="H32" s="9">
        <v>450000000</v>
      </c>
      <c r="O32" s="16"/>
      <c r="Q32" s="5" t="s">
        <v>221</v>
      </c>
      <c r="R32" s="17">
        <v>4047225</v>
      </c>
      <c r="AB32" s="5" t="s">
        <v>97</v>
      </c>
      <c r="AC32" s="25">
        <v>6000000000</v>
      </c>
      <c r="AN32" s="5" t="s">
        <v>184</v>
      </c>
      <c r="AO32" s="17">
        <f>H25</f>
        <v>23000000</v>
      </c>
    </row>
    <row r="33" spans="3:41" ht="13.5" thickBot="1">
      <c r="C33" s="5"/>
      <c r="G33" s="5" t="s">
        <v>173</v>
      </c>
      <c r="H33" s="11">
        <v>0.0275</v>
      </c>
      <c r="O33" s="16"/>
      <c r="Q33" s="5" t="s">
        <v>224</v>
      </c>
      <c r="R33" s="19">
        <f>$R$29/$R$32</f>
        <v>9.142066477648266</v>
      </c>
      <c r="AB33" s="5" t="s">
        <v>98</v>
      </c>
      <c r="AC33" s="26">
        <v>400000000</v>
      </c>
      <c r="AN33" s="5" t="s">
        <v>36</v>
      </c>
      <c r="AO33" s="21">
        <f>H28</f>
        <v>0.03</v>
      </c>
    </row>
    <row r="34" spans="3:41" ht="13.5" thickBot="1">
      <c r="C34" s="5"/>
      <c r="G34" s="5" t="s">
        <v>16</v>
      </c>
      <c r="H34" s="12">
        <v>485000</v>
      </c>
      <c r="Q34" s="5" t="s">
        <v>225</v>
      </c>
      <c r="R34" s="18">
        <v>875243</v>
      </c>
      <c r="AB34" s="5" t="s">
        <v>140</v>
      </c>
      <c r="AC34" s="21">
        <f>R42</f>
        <v>0.08</v>
      </c>
      <c r="AN34" s="5" t="s">
        <v>218</v>
      </c>
      <c r="AO34" s="17">
        <f>R27</f>
        <v>2372485</v>
      </c>
    </row>
    <row r="35" spans="3:41" ht="13.5" thickBot="1">
      <c r="C35" s="5"/>
      <c r="G35" s="5" t="s">
        <v>80</v>
      </c>
      <c r="H35" s="12">
        <v>2500</v>
      </c>
      <c r="Q35" s="5" t="s">
        <v>223</v>
      </c>
      <c r="R35" s="20">
        <f>$R$34/$R$29</f>
        <v>0.023655216216216215</v>
      </c>
      <c r="AN35" s="5" t="s">
        <v>230</v>
      </c>
      <c r="AO35" s="18">
        <f>(AO34*10^6)/AO32</f>
        <v>103151.52173913043</v>
      </c>
    </row>
    <row r="36" spans="3:41" ht="13.5" thickBot="1">
      <c r="C36" s="5"/>
      <c r="G36" s="5" t="s">
        <v>81</v>
      </c>
      <c r="H36" s="11">
        <v>0.1</v>
      </c>
      <c r="Q36" s="5" t="s">
        <v>222</v>
      </c>
      <c r="R36" s="20">
        <f>$R$34/$R$32</f>
        <v>0.2162575591917919</v>
      </c>
      <c r="AN36" s="5" t="s">
        <v>197</v>
      </c>
      <c r="AO36" s="21">
        <v>0.25</v>
      </c>
    </row>
    <row r="37" spans="3:41" ht="13.5" thickBot="1">
      <c r="C37" s="5"/>
      <c r="G37" s="5" t="s">
        <v>15</v>
      </c>
      <c r="H37" s="12">
        <f>H36*H27</f>
        <v>383333.3333333334</v>
      </c>
      <c r="Q37" s="5" t="s">
        <v>226</v>
      </c>
      <c r="R37" s="18">
        <v>210058.32</v>
      </c>
      <c r="AN37" s="5" t="s">
        <v>198</v>
      </c>
      <c r="AO37" s="21">
        <v>0.05</v>
      </c>
    </row>
    <row r="38" spans="3:41" ht="13.5" thickBot="1">
      <c r="C38" s="5"/>
      <c r="G38" s="5" t="s">
        <v>79</v>
      </c>
      <c r="H38" s="13">
        <f>H34*H37</f>
        <v>185916666666.6667</v>
      </c>
      <c r="Q38" s="5" t="s">
        <v>227</v>
      </c>
      <c r="R38" s="20">
        <f>$R$37/$R$25</f>
        <v>0.009132970434782608</v>
      </c>
      <c r="AN38" s="5" t="s">
        <v>128</v>
      </c>
      <c r="AO38" s="21">
        <v>0.3</v>
      </c>
    </row>
    <row r="39" spans="3:42" ht="13.5" thickBot="1">
      <c r="C39" s="5"/>
      <c r="G39" s="5" t="s">
        <v>75</v>
      </c>
      <c r="H39" s="9">
        <f>(1-H36)*H30</f>
        <v>12150000</v>
      </c>
      <c r="Q39" s="5" t="s">
        <v>228</v>
      </c>
      <c r="R39" s="17">
        <v>60000000</v>
      </c>
      <c r="AN39" s="5" t="s">
        <v>129</v>
      </c>
      <c r="AO39" s="21">
        <v>0.1</v>
      </c>
      <c r="AP39" s="6" t="s">
        <v>130</v>
      </c>
    </row>
    <row r="40" spans="3:41" ht="13.5" thickBot="1">
      <c r="C40" s="5"/>
      <c r="G40" s="5" t="s">
        <v>78</v>
      </c>
      <c r="H40" s="9">
        <f>H30-H39</f>
        <v>1350000</v>
      </c>
      <c r="Q40" s="5" t="s">
        <v>229</v>
      </c>
      <c r="R40" s="17">
        <v>4000000</v>
      </c>
      <c r="AN40" s="5" t="s">
        <v>131</v>
      </c>
      <c r="AO40" s="18">
        <v>900000</v>
      </c>
    </row>
    <row r="41" spans="3:41" ht="13.5" thickBot="1">
      <c r="C41" s="5"/>
      <c r="F41" s="5"/>
      <c r="G41" s="5" t="s">
        <v>76</v>
      </c>
      <c r="H41" s="12">
        <v>9200</v>
      </c>
      <c r="Q41" s="5" t="s">
        <v>232</v>
      </c>
      <c r="R41" s="17">
        <v>10250000</v>
      </c>
      <c r="AN41" s="5" t="s">
        <v>132</v>
      </c>
      <c r="AO41" s="18">
        <v>4000</v>
      </c>
    </row>
    <row r="42" spans="3:41" ht="13.5" thickBot="1">
      <c r="C42" s="5"/>
      <c r="F42" s="5"/>
      <c r="G42" s="5" t="s">
        <v>77</v>
      </c>
      <c r="H42" s="13">
        <f>H40*H41</f>
        <v>12420000000</v>
      </c>
      <c r="Q42" s="5" t="s">
        <v>140</v>
      </c>
      <c r="R42" s="21">
        <v>0.08</v>
      </c>
      <c r="AN42" s="5" t="s">
        <v>133</v>
      </c>
      <c r="AO42" s="18">
        <v>600000</v>
      </c>
    </row>
    <row r="43" spans="3:41" ht="13.5" thickBot="1">
      <c r="C43" s="5"/>
      <c r="F43" s="5"/>
      <c r="G43" s="5" t="s">
        <v>140</v>
      </c>
      <c r="H43" s="11">
        <v>0.1</v>
      </c>
      <c r="R43" s="5"/>
      <c r="AN43" s="5" t="s">
        <v>134</v>
      </c>
      <c r="AO43" s="18">
        <v>6000</v>
      </c>
    </row>
    <row r="44" spans="3:41" ht="13.5" thickBot="1">
      <c r="C44" s="5"/>
      <c r="F44" s="5"/>
      <c r="R44" s="5"/>
      <c r="AN44" s="5" t="s">
        <v>135</v>
      </c>
      <c r="AO44" s="20" t="s">
        <v>137</v>
      </c>
    </row>
    <row r="45" spans="6:41" ht="13.5" thickBot="1">
      <c r="F45" s="5"/>
      <c r="R45" s="5"/>
      <c r="AN45" s="5" t="s">
        <v>215</v>
      </c>
      <c r="AO45" s="27">
        <v>25000000</v>
      </c>
    </row>
    <row r="46" spans="6:41" ht="13.5" thickBot="1">
      <c r="F46" s="5"/>
      <c r="R46" s="5"/>
      <c r="AN46" s="5" t="s">
        <v>140</v>
      </c>
      <c r="AO46" s="21">
        <f>AC34</f>
        <v>0.08</v>
      </c>
    </row>
    <row r="47" spans="2:37" ht="12.75">
      <c r="B47" s="4" t="s">
        <v>153</v>
      </c>
      <c r="C47" s="5"/>
      <c r="F47" s="5"/>
      <c r="M47" s="4" t="s">
        <v>153</v>
      </c>
      <c r="R47" s="5"/>
      <c r="X47" s="4" t="s">
        <v>153</v>
      </c>
      <c r="AK47" s="4" t="s">
        <v>153</v>
      </c>
    </row>
    <row r="48" spans="3:39" ht="12.75">
      <c r="C48" s="6">
        <v>1</v>
      </c>
      <c r="D48" t="s">
        <v>154</v>
      </c>
      <c r="N48">
        <v>1</v>
      </c>
      <c r="O48" t="s">
        <v>154</v>
      </c>
      <c r="Y48">
        <v>1</v>
      </c>
      <c r="Z48" t="s">
        <v>154</v>
      </c>
      <c r="AL48">
        <v>1</v>
      </c>
      <c r="AM48" t="s">
        <v>154</v>
      </c>
    </row>
    <row r="49" spans="3:39" ht="12.75">
      <c r="C49" s="6">
        <v>2</v>
      </c>
      <c r="D49" t="s">
        <v>41</v>
      </c>
      <c r="N49">
        <v>2</v>
      </c>
      <c r="O49" t="s">
        <v>41</v>
      </c>
      <c r="R49" s="5"/>
      <c r="Y49">
        <v>2</v>
      </c>
      <c r="Z49" t="s">
        <v>41</v>
      </c>
      <c r="AL49">
        <v>2</v>
      </c>
      <c r="AM49" t="s">
        <v>41</v>
      </c>
    </row>
    <row r="50" spans="3:42" ht="12.75">
      <c r="C50" s="6"/>
      <c r="D50" t="s">
        <v>42</v>
      </c>
      <c r="F50" s="14">
        <v>0.5</v>
      </c>
      <c r="G50" t="s">
        <v>43</v>
      </c>
      <c r="O50" t="s">
        <v>42</v>
      </c>
      <c r="Q50" s="14">
        <v>0.3</v>
      </c>
      <c r="R50" s="23" t="s">
        <v>161</v>
      </c>
      <c r="Z50" t="s">
        <v>42</v>
      </c>
      <c r="AB50" s="14">
        <v>0.15</v>
      </c>
      <c r="AC50" s="23" t="s">
        <v>161</v>
      </c>
      <c r="AM50" t="s">
        <v>42</v>
      </c>
      <c r="AO50" s="14">
        <v>0.2</v>
      </c>
      <c r="AP50" t="s">
        <v>161</v>
      </c>
    </row>
    <row r="51" spans="3:39" ht="12.75">
      <c r="C51">
        <v>3</v>
      </c>
      <c r="D51" t="s">
        <v>162</v>
      </c>
      <c r="N51">
        <v>3</v>
      </c>
      <c r="O51" t="s">
        <v>162</v>
      </c>
      <c r="R51" s="5"/>
      <c r="Y51">
        <v>3</v>
      </c>
      <c r="Z51" t="s">
        <v>162</v>
      </c>
      <c r="AL51">
        <v>3</v>
      </c>
      <c r="AM51" t="s">
        <v>162</v>
      </c>
    </row>
    <row r="52" spans="4:39" ht="12.75">
      <c r="D52" t="s">
        <v>163</v>
      </c>
      <c r="O52" t="s">
        <v>163</v>
      </c>
      <c r="R52" s="5"/>
      <c r="Z52" t="s">
        <v>163</v>
      </c>
      <c r="AM52" t="s">
        <v>163</v>
      </c>
    </row>
    <row r="53" ht="12.75">
      <c r="R53" s="5"/>
    </row>
    <row r="54" ht="12.75">
      <c r="R54" s="5"/>
    </row>
    <row r="55" ht="12.75">
      <c r="R55" s="5"/>
    </row>
    <row r="56" ht="12.75">
      <c r="R56" s="5"/>
    </row>
    <row r="57" ht="12.75">
      <c r="R57" s="5"/>
    </row>
  </sheetData>
  <sheetProtection/>
  <printOptions/>
  <pageMargins left="0.3" right="0.3" top="0.7" bottom="0.7" header="0.5" footer="0.5"/>
  <pageSetup orientation="portrait" paperSize="9" scale="85"/>
  <headerFooter alignWithMargins="0">
    <oddHeader>&amp;C&amp;10Le Dossier des Projets CDMT</oddHeader>
    <oddFooter>&amp;C&amp;10- &amp;P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7" sqref="H47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B3" sqref="B3"/>
    </sheetView>
  </sheetViews>
  <sheetFormatPr defaultColWidth="11.5546875" defaultRowHeight="15.75"/>
  <cols>
    <col min="1" max="1" width="2.88671875" style="0" customWidth="1"/>
    <col min="2" max="2" width="3.3359375" style="0" customWidth="1"/>
    <col min="4" max="5" width="12.88671875" style="0" customWidth="1"/>
    <col min="6" max="14" width="11.5546875" style="0" customWidth="1"/>
    <col min="15" max="15" width="2.99609375" style="0" customWidth="1"/>
  </cols>
  <sheetData>
    <row r="1" spans="6:10" ht="13.5" thickBot="1">
      <c r="F1" s="1"/>
      <c r="G1" s="15"/>
      <c r="H1" s="2" t="s">
        <v>186</v>
      </c>
      <c r="I1" s="15"/>
      <c r="J1" s="3"/>
    </row>
    <row r="2" spans="2:13" ht="12.75">
      <c r="B2" s="43" t="s">
        <v>87</v>
      </c>
      <c r="M2" s="38" t="s">
        <v>88</v>
      </c>
    </row>
    <row r="4" ht="12.75">
      <c r="B4" s="4" t="s">
        <v>111</v>
      </c>
    </row>
    <row r="5" ht="12.75">
      <c r="C5" t="s">
        <v>235</v>
      </c>
    </row>
    <row r="6" ht="12.75">
      <c r="C6" t="s">
        <v>160</v>
      </c>
    </row>
    <row r="7" ht="13.5" thickBot="1">
      <c r="F7" s="8">
        <v>2003</v>
      </c>
    </row>
    <row r="8" spans="5:8" ht="13.5" thickBot="1">
      <c r="E8" s="5" t="s">
        <v>184</v>
      </c>
      <c r="F8" s="17">
        <f>'CDMT Cas d''étude'!R25</f>
        <v>23000000</v>
      </c>
      <c r="H8" s="4" t="s">
        <v>153</v>
      </c>
    </row>
    <row r="9" spans="5:8" ht="13.5" thickBot="1">
      <c r="E9" s="5" t="s">
        <v>36</v>
      </c>
      <c r="F9" s="11">
        <f>'CDMT Cas d''étude'!R26</f>
        <v>0.03</v>
      </c>
      <c r="G9">
        <v>1</v>
      </c>
      <c r="H9" t="s">
        <v>154</v>
      </c>
    </row>
    <row r="10" spans="5:8" ht="13.5" thickBot="1">
      <c r="E10" s="5" t="s">
        <v>218</v>
      </c>
      <c r="F10" s="17">
        <f>'CDMT Cas d''étude'!R27</f>
        <v>2372485</v>
      </c>
      <c r="G10">
        <v>2</v>
      </c>
      <c r="H10" t="s">
        <v>41</v>
      </c>
    </row>
    <row r="11" spans="5:11" ht="13.5" thickBot="1">
      <c r="E11" s="5" t="s">
        <v>230</v>
      </c>
      <c r="F11" s="18">
        <f>'CDMT Cas d''étude'!R28</f>
        <v>103151.52173913043</v>
      </c>
      <c r="H11" t="s">
        <v>42</v>
      </c>
      <c r="J11" s="14">
        <v>0.3</v>
      </c>
      <c r="K11" s="23" t="s">
        <v>161</v>
      </c>
    </row>
    <row r="12" spans="5:8" ht="13.5" thickBot="1">
      <c r="E12" s="5" t="s">
        <v>219</v>
      </c>
      <c r="F12" s="17">
        <f>'CDMT Cas d''étude'!R29</f>
        <v>37000000</v>
      </c>
      <c r="G12">
        <v>3</v>
      </c>
      <c r="H12" t="s">
        <v>162</v>
      </c>
    </row>
    <row r="13" spans="5:8" ht="13.5" thickBot="1">
      <c r="E13" s="5" t="s">
        <v>220</v>
      </c>
      <c r="F13" s="17">
        <f>'CDMT Cas d''étude'!R30</f>
        <v>7633212</v>
      </c>
      <c r="H13" t="s">
        <v>163</v>
      </c>
    </row>
    <row r="14" spans="5:6" ht="13.5" thickBot="1">
      <c r="E14" s="5" t="s">
        <v>231</v>
      </c>
      <c r="F14" s="18">
        <f>'CDMT Cas d''étude'!R31</f>
        <v>206303.02702702704</v>
      </c>
    </row>
    <row r="15" spans="4:6" ht="13.5" thickBot="1">
      <c r="D15" s="16"/>
      <c r="E15" s="5" t="s">
        <v>221</v>
      </c>
      <c r="F15" s="17">
        <f>'CDMT Cas d''étude'!R32</f>
        <v>4047225</v>
      </c>
    </row>
    <row r="16" spans="4:6" ht="13.5" thickBot="1">
      <c r="D16" s="16"/>
      <c r="E16" s="5" t="s">
        <v>224</v>
      </c>
      <c r="F16" s="19">
        <f>'CDMT Cas d''étude'!R33</f>
        <v>9.142066477648266</v>
      </c>
    </row>
    <row r="17" spans="5:6" ht="13.5" thickBot="1">
      <c r="E17" s="5" t="s">
        <v>225</v>
      </c>
      <c r="F17" s="18">
        <f>'CDMT Cas d''étude'!R34</f>
        <v>875243</v>
      </c>
    </row>
    <row r="18" spans="5:6" ht="13.5" thickBot="1">
      <c r="E18" s="5" t="s">
        <v>223</v>
      </c>
      <c r="F18" s="20">
        <f>'CDMT Cas d''étude'!R35</f>
        <v>0.023655216216216215</v>
      </c>
    </row>
    <row r="19" spans="5:6" ht="13.5" thickBot="1">
      <c r="E19" s="5" t="s">
        <v>222</v>
      </c>
      <c r="F19" s="20">
        <f>'CDMT Cas d''étude'!R36</f>
        <v>0.2162575591917919</v>
      </c>
    </row>
    <row r="20" spans="5:6" ht="13.5" thickBot="1">
      <c r="E20" s="5" t="s">
        <v>226</v>
      </c>
      <c r="F20" s="18">
        <f>'CDMT Cas d''étude'!R37</f>
        <v>210058.32</v>
      </c>
    </row>
    <row r="21" spans="5:6" ht="13.5" thickBot="1">
      <c r="E21" s="5" t="s">
        <v>227</v>
      </c>
      <c r="F21" s="20">
        <f>'CDMT Cas d''étude'!R38</f>
        <v>0.009132970434782608</v>
      </c>
    </row>
    <row r="22" spans="5:6" ht="13.5" thickBot="1">
      <c r="E22" s="5" t="s">
        <v>228</v>
      </c>
      <c r="F22" s="17">
        <f>'CDMT Cas d''étude'!R39</f>
        <v>60000000</v>
      </c>
    </row>
    <row r="23" spans="5:6" ht="13.5" thickBot="1">
      <c r="E23" s="5" t="s">
        <v>229</v>
      </c>
      <c r="F23" s="17">
        <f>'CDMT Cas d''étude'!R40</f>
        <v>4000000</v>
      </c>
    </row>
    <row r="24" spans="5:6" ht="13.5" thickBot="1">
      <c r="E24" s="5" t="s">
        <v>232</v>
      </c>
      <c r="F24" s="17">
        <f>'CDMT Cas d''étude'!R41</f>
        <v>10250000</v>
      </c>
    </row>
    <row r="25" spans="5:6" ht="13.5" thickBot="1">
      <c r="E25" s="5" t="s">
        <v>140</v>
      </c>
      <c r="F25" s="21">
        <f>'CDMT Cas d''étude'!R42</f>
        <v>0.08</v>
      </c>
    </row>
    <row r="26" ht="12.75">
      <c r="G26" s="5"/>
    </row>
    <row r="27" spans="1:14" ht="13.5" thickBot="1">
      <c r="A27" s="6"/>
      <c r="B27" s="43" t="s">
        <v>146</v>
      </c>
      <c r="C27" s="6"/>
      <c r="D27" s="7">
        <v>0</v>
      </c>
      <c r="E27" s="7">
        <v>1</v>
      </c>
      <c r="F27" s="7">
        <v>2</v>
      </c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</row>
    <row r="28" spans="1:14" ht="13.5" thickBot="1">
      <c r="A28" s="6"/>
      <c r="B28" s="6"/>
      <c r="C28" s="5" t="s">
        <v>138</v>
      </c>
      <c r="D28" s="45">
        <f>(5000/2)*$F$22</f>
        <v>150000000000</v>
      </c>
      <c r="E28" s="45">
        <f>(5000/2)*$F$22</f>
        <v>150000000000</v>
      </c>
      <c r="F28" s="34"/>
      <c r="G28" s="46"/>
      <c r="H28" s="34"/>
      <c r="I28" s="34"/>
      <c r="J28" s="34"/>
      <c r="K28" s="34"/>
      <c r="L28" s="34"/>
      <c r="M28" s="34"/>
      <c r="N28" s="34"/>
    </row>
    <row r="29" spans="1:14" ht="13.5" thickBot="1">
      <c r="A29" s="6"/>
      <c r="B29" s="6"/>
      <c r="C29" s="5" t="s">
        <v>187</v>
      </c>
      <c r="D29" s="34"/>
      <c r="E29" s="45">
        <f>(5000/2)*$F23</f>
        <v>10000000000</v>
      </c>
      <c r="F29" s="45">
        <f aca="true" t="shared" si="0" ref="F29:N29">5000*$F23</f>
        <v>20000000000</v>
      </c>
      <c r="G29" s="45">
        <f t="shared" si="0"/>
        <v>20000000000</v>
      </c>
      <c r="H29" s="45">
        <f t="shared" si="0"/>
        <v>20000000000</v>
      </c>
      <c r="I29" s="45">
        <f t="shared" si="0"/>
        <v>20000000000</v>
      </c>
      <c r="J29" s="45">
        <f t="shared" si="0"/>
        <v>20000000000</v>
      </c>
      <c r="K29" s="45">
        <f t="shared" si="0"/>
        <v>20000000000</v>
      </c>
      <c r="L29" s="45">
        <f t="shared" si="0"/>
        <v>20000000000</v>
      </c>
      <c r="M29" s="45">
        <f t="shared" si="0"/>
        <v>20000000000</v>
      </c>
      <c r="N29" s="45">
        <f t="shared" si="0"/>
        <v>20000000000</v>
      </c>
    </row>
    <row r="30" spans="1:14" ht="13.5" thickBot="1">
      <c r="A30" s="6"/>
      <c r="B30" s="6"/>
      <c r="C30" s="5" t="s">
        <v>188</v>
      </c>
      <c r="D30" s="34"/>
      <c r="E30" s="45">
        <f>(5000/2)*$F$24</f>
        <v>25625000000</v>
      </c>
      <c r="F30" s="45">
        <f aca="true" t="shared" si="1" ref="F30:N30">(5000)*$F$24</f>
        <v>51250000000</v>
      </c>
      <c r="G30" s="45">
        <f t="shared" si="1"/>
        <v>51250000000</v>
      </c>
      <c r="H30" s="45">
        <f t="shared" si="1"/>
        <v>51250000000</v>
      </c>
      <c r="I30" s="45">
        <f t="shared" si="1"/>
        <v>51250000000</v>
      </c>
      <c r="J30" s="45">
        <f t="shared" si="1"/>
        <v>51250000000</v>
      </c>
      <c r="K30" s="45">
        <f t="shared" si="1"/>
        <v>51250000000</v>
      </c>
      <c r="L30" s="45">
        <f t="shared" si="1"/>
        <v>51250000000</v>
      </c>
      <c r="M30" s="45">
        <f t="shared" si="1"/>
        <v>51250000000</v>
      </c>
      <c r="N30" s="45">
        <f t="shared" si="1"/>
        <v>51250000000</v>
      </c>
    </row>
    <row r="31" spans="1:14" ht="13.5" thickBot="1">
      <c r="A31" s="6"/>
      <c r="B31" s="6"/>
      <c r="C31" s="5" t="s">
        <v>142</v>
      </c>
      <c r="D31" s="45">
        <f>D30-SUM(D28:D29)</f>
        <v>-150000000000</v>
      </c>
      <c r="E31" s="45">
        <f aca="true" t="shared" si="2" ref="E31:N31">E30-SUM(E28:E29)</f>
        <v>-134375000000</v>
      </c>
      <c r="F31" s="45">
        <f t="shared" si="2"/>
        <v>31250000000</v>
      </c>
      <c r="G31" s="45">
        <f t="shared" si="2"/>
        <v>31250000000</v>
      </c>
      <c r="H31" s="45">
        <f t="shared" si="2"/>
        <v>31250000000</v>
      </c>
      <c r="I31" s="45">
        <f t="shared" si="2"/>
        <v>31250000000</v>
      </c>
      <c r="J31" s="45">
        <f t="shared" si="2"/>
        <v>31250000000</v>
      </c>
      <c r="K31" s="45">
        <f t="shared" si="2"/>
        <v>31250000000</v>
      </c>
      <c r="L31" s="45">
        <f t="shared" si="2"/>
        <v>31250000000</v>
      </c>
      <c r="M31" s="45">
        <f t="shared" si="2"/>
        <v>31250000000</v>
      </c>
      <c r="N31" s="45">
        <f t="shared" si="2"/>
        <v>31250000000</v>
      </c>
    </row>
    <row r="32" spans="1:14" ht="13.5" thickBot="1">
      <c r="A32" s="6"/>
      <c r="B32" s="6"/>
      <c r="C32" s="5" t="s">
        <v>236</v>
      </c>
      <c r="D32" s="31">
        <f>$F$25</f>
        <v>0.08</v>
      </c>
      <c r="E32" s="6"/>
      <c r="F32" s="6"/>
      <c r="G32" s="5"/>
      <c r="H32" s="6"/>
      <c r="I32" s="6"/>
      <c r="J32" s="6"/>
      <c r="K32" s="6"/>
      <c r="L32" s="6"/>
      <c r="M32" s="6"/>
      <c r="N32" s="6"/>
    </row>
    <row r="33" spans="1:14" ht="13.5" thickBot="1">
      <c r="A33" s="6"/>
      <c r="B33" s="6"/>
      <c r="C33" s="5" t="s">
        <v>237</v>
      </c>
      <c r="D33" s="47">
        <f>1/(1+$D$32)^D27</f>
        <v>1</v>
      </c>
      <c r="E33" s="47">
        <f aca="true" t="shared" si="3" ref="E33:N33">1/(1+$D$32)^E27</f>
        <v>0.9259259259259258</v>
      </c>
      <c r="F33" s="47">
        <f t="shared" si="3"/>
        <v>0.8573388203017832</v>
      </c>
      <c r="G33" s="47">
        <f t="shared" si="3"/>
        <v>0.7938322410201696</v>
      </c>
      <c r="H33" s="47">
        <f t="shared" si="3"/>
        <v>0.7350298527964533</v>
      </c>
      <c r="I33" s="47">
        <f t="shared" si="3"/>
        <v>0.680583197033753</v>
      </c>
      <c r="J33" s="47">
        <f t="shared" si="3"/>
        <v>0.6301696268831045</v>
      </c>
      <c r="K33" s="47">
        <f t="shared" si="3"/>
        <v>0.5834903952621339</v>
      </c>
      <c r="L33" s="47">
        <f t="shared" si="3"/>
        <v>0.5402688845019757</v>
      </c>
      <c r="M33" s="47">
        <f t="shared" si="3"/>
        <v>0.500248967131459</v>
      </c>
      <c r="N33" s="47">
        <f t="shared" si="3"/>
        <v>0.46319348808468425</v>
      </c>
    </row>
    <row r="34" spans="1:14" ht="13.5" thickBot="1">
      <c r="A34" s="6"/>
      <c r="B34" s="6"/>
      <c r="C34" s="5" t="s">
        <v>143</v>
      </c>
      <c r="D34" s="45">
        <f>D31*D33</f>
        <v>-150000000000</v>
      </c>
      <c r="E34" s="45">
        <f aca="true" t="shared" si="4" ref="E34:N34">E31*E33</f>
        <v>-124421296296.29628</v>
      </c>
      <c r="F34" s="45">
        <f t="shared" si="4"/>
        <v>26791838134.430725</v>
      </c>
      <c r="G34" s="45">
        <f t="shared" si="4"/>
        <v>24807257531.8803</v>
      </c>
      <c r="H34" s="45">
        <f t="shared" si="4"/>
        <v>22969682899.889164</v>
      </c>
      <c r="I34" s="45">
        <f t="shared" si="4"/>
        <v>21268224907.304783</v>
      </c>
      <c r="J34" s="45">
        <f t="shared" si="4"/>
        <v>19692800840.097015</v>
      </c>
      <c r="K34" s="45">
        <f t="shared" si="4"/>
        <v>18234074851.941685</v>
      </c>
      <c r="L34" s="45">
        <f t="shared" si="4"/>
        <v>16883402640.686743</v>
      </c>
      <c r="M34" s="45">
        <f t="shared" si="4"/>
        <v>15632780222.858095</v>
      </c>
      <c r="N34" s="45">
        <f t="shared" si="4"/>
        <v>14474796502.646383</v>
      </c>
    </row>
    <row r="35" spans="1:14" ht="13.5" thickBot="1">
      <c r="A35" s="6"/>
      <c r="B35" s="6"/>
      <c r="C35" s="5" t="s">
        <v>144</v>
      </c>
      <c r="D35" s="45">
        <f>SUM(D34:N34)</f>
        <v>-93666437764.56139</v>
      </c>
      <c r="E35" s="6"/>
      <c r="F35" s="6"/>
      <c r="G35" s="5"/>
      <c r="H35" s="6"/>
      <c r="I35" s="6"/>
      <c r="J35" s="6"/>
      <c r="K35" s="6"/>
      <c r="L35" s="6"/>
      <c r="M35" s="6"/>
      <c r="N35" s="6"/>
    </row>
    <row r="36" spans="1:14" ht="13.5" thickBot="1">
      <c r="A36" s="6"/>
      <c r="B36" s="6"/>
      <c r="C36" s="5" t="s">
        <v>238</v>
      </c>
      <c r="D36" s="31">
        <f>IRR(D31:N31,0.08)</f>
        <v>-0.0019947690448500754</v>
      </c>
      <c r="E36" s="6"/>
      <c r="F36" s="6"/>
      <c r="G36" s="5"/>
      <c r="H36" s="6"/>
      <c r="I36" s="6"/>
      <c r="J36" s="6"/>
      <c r="K36" s="6"/>
      <c r="L36" s="6"/>
      <c r="M36" s="6"/>
      <c r="N36" s="6"/>
    </row>
    <row r="37" spans="1:14" ht="13.5" thickBot="1">
      <c r="A37" s="6"/>
      <c r="B37" s="6"/>
      <c r="C37" s="5" t="s">
        <v>193</v>
      </c>
      <c r="D37" s="45">
        <f>SUM(D31:N31)</f>
        <v>-3125000000</v>
      </c>
      <c r="E37" s="6"/>
      <c r="F37" s="6"/>
      <c r="G37" s="6"/>
      <c r="H37" s="6"/>
      <c r="I37" s="6"/>
      <c r="J37" s="6"/>
      <c r="K37" s="6"/>
      <c r="L37" s="6"/>
      <c r="M37" s="6"/>
      <c r="N37" s="6"/>
    </row>
    <row r="38" ht="12.75">
      <c r="C38" s="44"/>
    </row>
    <row r="39" ht="12.75">
      <c r="B39" s="48" t="s">
        <v>126</v>
      </c>
    </row>
    <row r="40" spans="2:14" ht="13.5" thickBot="1">
      <c r="B40" s="43"/>
      <c r="D40" s="7">
        <v>0</v>
      </c>
      <c r="E40" s="7">
        <v>1</v>
      </c>
      <c r="F40" s="7">
        <v>2</v>
      </c>
      <c r="G40" s="7">
        <v>3</v>
      </c>
      <c r="H40" s="7">
        <v>4</v>
      </c>
      <c r="I40" s="7">
        <v>5</v>
      </c>
      <c r="J40" s="7">
        <v>6</v>
      </c>
      <c r="K40" s="7">
        <v>7</v>
      </c>
      <c r="L40" s="7">
        <v>8</v>
      </c>
      <c r="M40" s="7">
        <v>9</v>
      </c>
      <c r="N40" s="7">
        <v>10</v>
      </c>
    </row>
    <row r="41" spans="2:14" ht="13.5" thickBot="1">
      <c r="B41" s="6"/>
      <c r="C41" s="5" t="s">
        <v>138</v>
      </c>
      <c r="D41" s="45">
        <f>(5000/2)*$F$22*2</f>
        <v>300000000000</v>
      </c>
      <c r="E41" s="45">
        <f>(5000/2)*$F$22*2</f>
        <v>300000000000</v>
      </c>
      <c r="F41" s="34"/>
      <c r="G41" s="46"/>
      <c r="H41" s="34"/>
      <c r="I41" s="34"/>
      <c r="J41" s="34"/>
      <c r="K41" s="34"/>
      <c r="L41" s="34"/>
      <c r="M41" s="34"/>
      <c r="N41" s="34"/>
    </row>
    <row r="42" spans="2:14" ht="13.5" thickBot="1">
      <c r="B42" s="6"/>
      <c r="C42" s="5" t="s">
        <v>187</v>
      </c>
      <c r="D42" s="34"/>
      <c r="E42" s="45">
        <f>(5000/2)*$F36</f>
        <v>0</v>
      </c>
      <c r="F42" s="45">
        <f aca="true" t="shared" si="5" ref="F42:N42">5000*$F36</f>
        <v>0</v>
      </c>
      <c r="G42" s="45">
        <f t="shared" si="5"/>
        <v>0</v>
      </c>
      <c r="H42" s="45">
        <f t="shared" si="5"/>
        <v>0</v>
      </c>
      <c r="I42" s="45">
        <f t="shared" si="5"/>
        <v>0</v>
      </c>
      <c r="J42" s="45">
        <f t="shared" si="5"/>
        <v>0</v>
      </c>
      <c r="K42" s="45">
        <f t="shared" si="5"/>
        <v>0</v>
      </c>
      <c r="L42" s="45">
        <f t="shared" si="5"/>
        <v>0</v>
      </c>
      <c r="M42" s="45">
        <f t="shared" si="5"/>
        <v>0</v>
      </c>
      <c r="N42" s="45">
        <f t="shared" si="5"/>
        <v>0</v>
      </c>
    </row>
    <row r="43" spans="2:14" ht="13.5" thickBot="1">
      <c r="B43" s="6"/>
      <c r="C43" s="5" t="s">
        <v>188</v>
      </c>
      <c r="D43" s="34"/>
      <c r="E43" s="45">
        <f>(5000/2)*$F$24</f>
        <v>25625000000</v>
      </c>
      <c r="F43" s="45">
        <f aca="true" t="shared" si="6" ref="F43:N43">(5000)*$F$24</f>
        <v>51250000000</v>
      </c>
      <c r="G43" s="45">
        <f t="shared" si="6"/>
        <v>51250000000</v>
      </c>
      <c r="H43" s="45">
        <f t="shared" si="6"/>
        <v>51250000000</v>
      </c>
      <c r="I43" s="45">
        <f t="shared" si="6"/>
        <v>51250000000</v>
      </c>
      <c r="J43" s="45">
        <f t="shared" si="6"/>
        <v>51250000000</v>
      </c>
      <c r="K43" s="45">
        <f t="shared" si="6"/>
        <v>51250000000</v>
      </c>
      <c r="L43" s="45">
        <f t="shared" si="6"/>
        <v>51250000000</v>
      </c>
      <c r="M43" s="45">
        <f t="shared" si="6"/>
        <v>51250000000</v>
      </c>
      <c r="N43" s="45">
        <f t="shared" si="6"/>
        <v>51250000000</v>
      </c>
    </row>
    <row r="44" spans="2:14" ht="13.5" thickBot="1">
      <c r="B44" s="6"/>
      <c r="C44" s="5" t="s">
        <v>142</v>
      </c>
      <c r="D44" s="45">
        <f aca="true" t="shared" si="7" ref="D44:N44">D43-SUM(D41:D42)</f>
        <v>-300000000000</v>
      </c>
      <c r="E44" s="45">
        <f t="shared" si="7"/>
        <v>-274375000000</v>
      </c>
      <c r="F44" s="45">
        <f t="shared" si="7"/>
        <v>51250000000</v>
      </c>
      <c r="G44" s="45">
        <f t="shared" si="7"/>
        <v>51250000000</v>
      </c>
      <c r="H44" s="45">
        <f t="shared" si="7"/>
        <v>51250000000</v>
      </c>
      <c r="I44" s="45">
        <f t="shared" si="7"/>
        <v>51250000000</v>
      </c>
      <c r="J44" s="45">
        <f t="shared" si="7"/>
        <v>51250000000</v>
      </c>
      <c r="K44" s="45">
        <f t="shared" si="7"/>
        <v>51250000000</v>
      </c>
      <c r="L44" s="45">
        <f t="shared" si="7"/>
        <v>51250000000</v>
      </c>
      <c r="M44" s="45">
        <f t="shared" si="7"/>
        <v>51250000000</v>
      </c>
      <c r="N44" s="45">
        <f t="shared" si="7"/>
        <v>51250000000</v>
      </c>
    </row>
    <row r="45" spans="2:14" ht="13.5" thickBot="1">
      <c r="B45" s="6"/>
      <c r="C45" s="5" t="s">
        <v>236</v>
      </c>
      <c r="D45" s="31">
        <f>$F$25</f>
        <v>0.08</v>
      </c>
      <c r="E45" s="6"/>
      <c r="F45" s="6"/>
      <c r="G45" s="5"/>
      <c r="H45" s="6"/>
      <c r="I45" s="6"/>
      <c r="J45" s="6"/>
      <c r="K45" s="6"/>
      <c r="L45" s="6"/>
      <c r="M45" s="6"/>
      <c r="N45" s="6"/>
    </row>
    <row r="46" spans="2:14" ht="13.5" thickBot="1">
      <c r="B46" s="6"/>
      <c r="C46" s="5" t="s">
        <v>237</v>
      </c>
      <c r="D46" s="47">
        <f aca="true" t="shared" si="8" ref="D46:N46">1/(1+$D$32)^D40</f>
        <v>1</v>
      </c>
      <c r="E46" s="47">
        <f t="shared" si="8"/>
        <v>0.9259259259259258</v>
      </c>
      <c r="F46" s="47">
        <f t="shared" si="8"/>
        <v>0.8573388203017832</v>
      </c>
      <c r="G46" s="47">
        <f t="shared" si="8"/>
        <v>0.7938322410201696</v>
      </c>
      <c r="H46" s="47">
        <f t="shared" si="8"/>
        <v>0.7350298527964533</v>
      </c>
      <c r="I46" s="47">
        <f t="shared" si="8"/>
        <v>0.680583197033753</v>
      </c>
      <c r="J46" s="47">
        <f t="shared" si="8"/>
        <v>0.6301696268831045</v>
      </c>
      <c r="K46" s="47">
        <f t="shared" si="8"/>
        <v>0.5834903952621339</v>
      </c>
      <c r="L46" s="47">
        <f t="shared" si="8"/>
        <v>0.5402688845019757</v>
      </c>
      <c r="M46" s="47">
        <f t="shared" si="8"/>
        <v>0.500248967131459</v>
      </c>
      <c r="N46" s="47">
        <f t="shared" si="8"/>
        <v>0.46319348808468425</v>
      </c>
    </row>
    <row r="47" spans="2:14" ht="13.5" thickBot="1">
      <c r="B47" s="6"/>
      <c r="C47" s="5" t="s">
        <v>143</v>
      </c>
      <c r="D47" s="45">
        <f aca="true" t="shared" si="9" ref="D47:N47">D44*D46</f>
        <v>-300000000000</v>
      </c>
      <c r="E47" s="45">
        <f t="shared" si="9"/>
        <v>-254050925925.9259</v>
      </c>
      <c r="F47" s="45">
        <f t="shared" si="9"/>
        <v>43938614540.46639</v>
      </c>
      <c r="G47" s="45">
        <f t="shared" si="9"/>
        <v>40683902352.28369</v>
      </c>
      <c r="H47" s="45">
        <f t="shared" si="9"/>
        <v>37670279955.81823</v>
      </c>
      <c r="I47" s="45">
        <f t="shared" si="9"/>
        <v>34879888847.97984</v>
      </c>
      <c r="J47" s="45">
        <f t="shared" si="9"/>
        <v>32296193377.759106</v>
      </c>
      <c r="K47" s="45">
        <f t="shared" si="9"/>
        <v>29903882757.18436</v>
      </c>
      <c r="L47" s="45">
        <f t="shared" si="9"/>
        <v>27688780330.726257</v>
      </c>
      <c r="M47" s="45">
        <f t="shared" si="9"/>
        <v>25637759565.487278</v>
      </c>
      <c r="N47" s="45">
        <f t="shared" si="9"/>
        <v>23738666264.34007</v>
      </c>
    </row>
    <row r="48" spans="2:14" ht="13.5" thickBot="1">
      <c r="B48" s="6"/>
      <c r="C48" s="5" t="s">
        <v>144</v>
      </c>
      <c r="D48" s="45">
        <f>SUM(D47:N47)</f>
        <v>-257612957933.88065</v>
      </c>
      <c r="E48" s="6"/>
      <c r="F48" s="6"/>
      <c r="G48" s="5"/>
      <c r="H48" s="6"/>
      <c r="I48" s="6"/>
      <c r="J48" s="6"/>
      <c r="K48" s="6"/>
      <c r="L48" s="6"/>
      <c r="M48" s="6"/>
      <c r="N48" s="6"/>
    </row>
    <row r="49" spans="2:14" ht="13.5" thickBot="1">
      <c r="B49" s="6"/>
      <c r="C49" s="5" t="s">
        <v>238</v>
      </c>
      <c r="D49" s="31" t="e">
        <f>IRR(D44:N44,0.08)</f>
        <v>#NUM!</v>
      </c>
      <c r="E49" s="6"/>
      <c r="F49" s="6" t="s">
        <v>127</v>
      </c>
      <c r="G49" s="5"/>
      <c r="H49" s="6"/>
      <c r="I49" s="6"/>
      <c r="J49" s="6"/>
      <c r="K49" s="6"/>
      <c r="L49" s="6"/>
      <c r="M49" s="6"/>
      <c r="N49" s="6"/>
    </row>
    <row r="50" spans="2:14" ht="13.5" thickBot="1">
      <c r="B50" s="6"/>
      <c r="C50" s="5" t="s">
        <v>193</v>
      </c>
      <c r="D50" s="45">
        <f>SUM(D44:N44)</f>
        <v>-113125000000</v>
      </c>
      <c r="E50" s="6"/>
      <c r="F50" s="6" t="s">
        <v>64</v>
      </c>
      <c r="G50" s="6"/>
      <c r="H50" s="6"/>
      <c r="I50" s="6"/>
      <c r="J50" s="6"/>
      <c r="K50" s="6"/>
      <c r="L50" s="6"/>
      <c r="M50" s="6"/>
      <c r="N50" s="6"/>
    </row>
    <row r="55" ht="12.75">
      <c r="C55" s="43" t="s">
        <v>13</v>
      </c>
    </row>
    <row r="56" spans="4:14" ht="13.5" thickBot="1">
      <c r="D56" s="7">
        <v>0</v>
      </c>
      <c r="E56" s="7">
        <v>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">
        <v>7</v>
      </c>
      <c r="L56" s="7">
        <v>8</v>
      </c>
      <c r="M56" s="7">
        <v>9</v>
      </c>
      <c r="N56" s="7">
        <v>10</v>
      </c>
    </row>
    <row r="57" spans="3:14" ht="13.5" thickBot="1">
      <c r="C57" s="5" t="s">
        <v>184</v>
      </c>
      <c r="D57" s="29">
        <f>$F$8</f>
        <v>23000000</v>
      </c>
      <c r="E57" s="29">
        <f>D57*(1+$F$9)</f>
        <v>23690000</v>
      </c>
      <c r="F57" s="29">
        <f aca="true" t="shared" si="10" ref="F57:N57">E57*(1+$F$9)</f>
        <v>24400700</v>
      </c>
      <c r="G57" s="29">
        <f t="shared" si="10"/>
        <v>25132721</v>
      </c>
      <c r="H57" s="29">
        <f t="shared" si="10"/>
        <v>25886702.63</v>
      </c>
      <c r="I57" s="29">
        <f t="shared" si="10"/>
        <v>26663303.7089</v>
      </c>
      <c r="J57" s="29">
        <f t="shared" si="10"/>
        <v>27463202.820167</v>
      </c>
      <c r="K57" s="29">
        <f t="shared" si="10"/>
        <v>28287098.904772013</v>
      </c>
      <c r="L57" s="29">
        <f t="shared" si="10"/>
        <v>29135711.871915173</v>
      </c>
      <c r="M57" s="29">
        <f t="shared" si="10"/>
        <v>30009783.22807263</v>
      </c>
      <c r="N57" s="29">
        <f t="shared" si="10"/>
        <v>30910076.724914808</v>
      </c>
    </row>
    <row r="58" spans="3:14" ht="13.5" thickBot="1">
      <c r="C58" s="5" t="s">
        <v>124</v>
      </c>
      <c r="D58" s="32">
        <f>F20</f>
        <v>210058.32</v>
      </c>
      <c r="E58" s="32">
        <f>D58+5000/2</f>
        <v>212558.32</v>
      </c>
      <c r="F58" s="32">
        <f>E58+5000/2</f>
        <v>215058.32</v>
      </c>
      <c r="G58" s="32">
        <f>$F$58</f>
        <v>215058.32</v>
      </c>
      <c r="H58" s="32">
        <f aca="true" t="shared" si="11" ref="H58:N58">$F$58</f>
        <v>215058.32</v>
      </c>
      <c r="I58" s="32">
        <f t="shared" si="11"/>
        <v>215058.32</v>
      </c>
      <c r="J58" s="32">
        <f t="shared" si="11"/>
        <v>215058.32</v>
      </c>
      <c r="K58" s="32">
        <f t="shared" si="11"/>
        <v>215058.32</v>
      </c>
      <c r="L58" s="32">
        <f t="shared" si="11"/>
        <v>215058.32</v>
      </c>
      <c r="M58" s="32">
        <f t="shared" si="11"/>
        <v>215058.32</v>
      </c>
      <c r="N58" s="32">
        <f t="shared" si="11"/>
        <v>215058.32</v>
      </c>
    </row>
    <row r="59" spans="3:14" ht="13.5" thickBot="1">
      <c r="C59" s="5" t="s">
        <v>56</v>
      </c>
      <c r="D59" s="32">
        <f>$D$58</f>
        <v>210058.32</v>
      </c>
      <c r="E59" s="32">
        <f aca="true" t="shared" si="12" ref="E59:N59">$D$58</f>
        <v>210058.32</v>
      </c>
      <c r="F59" s="32">
        <f t="shared" si="12"/>
        <v>210058.32</v>
      </c>
      <c r="G59" s="32">
        <f t="shared" si="12"/>
        <v>210058.32</v>
      </c>
      <c r="H59" s="32">
        <f t="shared" si="12"/>
        <v>210058.32</v>
      </c>
      <c r="I59" s="32">
        <f t="shared" si="12"/>
        <v>210058.32</v>
      </c>
      <c r="J59" s="32">
        <f t="shared" si="12"/>
        <v>210058.32</v>
      </c>
      <c r="K59" s="32">
        <f t="shared" si="12"/>
        <v>210058.32</v>
      </c>
      <c r="L59" s="32">
        <f t="shared" si="12"/>
        <v>210058.32</v>
      </c>
      <c r="M59" s="32">
        <f t="shared" si="12"/>
        <v>210058.32</v>
      </c>
      <c r="N59" s="32">
        <f t="shared" si="12"/>
        <v>210058.32</v>
      </c>
    </row>
    <row r="60" spans="3:14" ht="13.5" thickBot="1">
      <c r="C60" s="5" t="s">
        <v>57</v>
      </c>
      <c r="D60" s="47">
        <f aca="true" t="shared" si="13" ref="D60:N60">D58/D57</f>
        <v>0.009132970434782608</v>
      </c>
      <c r="E60" s="47">
        <f t="shared" si="13"/>
        <v>0.00897249134655973</v>
      </c>
      <c r="F60" s="47">
        <f t="shared" si="13"/>
        <v>0.008813612724225124</v>
      </c>
      <c r="G60" s="47">
        <f t="shared" si="13"/>
        <v>0.00855690555750012</v>
      </c>
      <c r="H60" s="47">
        <f t="shared" si="13"/>
        <v>0.008307675298543808</v>
      </c>
      <c r="I60" s="47">
        <f t="shared" si="13"/>
        <v>0.008065704173343501</v>
      </c>
      <c r="J60" s="47">
        <f t="shared" si="13"/>
        <v>0.007830780750818934</v>
      </c>
      <c r="K60" s="47">
        <f t="shared" si="13"/>
        <v>0.007602699758076634</v>
      </c>
      <c r="L60" s="47">
        <f t="shared" si="13"/>
        <v>0.007381261901045276</v>
      </c>
      <c r="M60" s="47">
        <f t="shared" si="13"/>
        <v>0.0071662736903352195</v>
      </c>
      <c r="N60" s="47">
        <f t="shared" si="13"/>
        <v>0.006957547272170116</v>
      </c>
    </row>
    <row r="61" spans="3:14" ht="13.5" thickBot="1">
      <c r="C61" s="5" t="s">
        <v>58</v>
      </c>
      <c r="D61" s="47">
        <f>D59/D57</f>
        <v>0.009132970434782608</v>
      </c>
      <c r="E61" s="47">
        <f aca="true" t="shared" si="14" ref="E61:N61">E59/E57</f>
        <v>0.008866961587167582</v>
      </c>
      <c r="F61" s="47">
        <f t="shared" si="14"/>
        <v>0.008608700570065613</v>
      </c>
      <c r="G61" s="47">
        <f t="shared" si="14"/>
        <v>0.008357961718510304</v>
      </c>
      <c r="H61" s="47">
        <f t="shared" si="14"/>
        <v>0.008114525940301267</v>
      </c>
      <c r="I61" s="47">
        <f t="shared" si="14"/>
        <v>0.007878180524564335</v>
      </c>
      <c r="J61" s="47">
        <f t="shared" si="14"/>
        <v>0.007648718955887705</v>
      </c>
      <c r="K61" s="47">
        <f t="shared" si="14"/>
        <v>0.007425940733871557</v>
      </c>
      <c r="L61" s="47">
        <f t="shared" si="14"/>
        <v>0.007209651197933551</v>
      </c>
      <c r="M61" s="47">
        <f t="shared" si="14"/>
        <v>0.00699966135721704</v>
      </c>
      <c r="N61" s="47">
        <f t="shared" si="14"/>
        <v>0.006795787725453436</v>
      </c>
    </row>
    <row r="62" spans="3:14" ht="12.75"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ht="12.75">
      <c r="C63" s="5"/>
    </row>
    <row r="64" ht="12.75">
      <c r="C64" s="5"/>
    </row>
    <row r="65" ht="12.75">
      <c r="C65" s="5"/>
    </row>
    <row r="66" ht="12.75">
      <c r="C66" s="5"/>
    </row>
  </sheetData>
  <sheetProtection/>
  <printOptions/>
  <pageMargins left="0.3" right="0.3" top="0.7" bottom="0.7" header="0.5" footer="0.5"/>
  <pageSetup orientation="landscape" paperSize="9" scale="70"/>
  <headerFooter alignWithMargins="0">
    <oddHeader>&amp;L&amp;10Fiche 3&amp;C&amp;10Corrigé Projet Réseau Routier National</oddHeader>
    <oddFooter>&amp;C&amp;10-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2"/>
  <sheetViews>
    <sheetView workbookViewId="0" topLeftCell="A1">
      <selection activeCell="E47" sqref="E47"/>
    </sheetView>
  </sheetViews>
  <sheetFormatPr defaultColWidth="11.5546875" defaultRowHeight="15.75"/>
  <cols>
    <col min="1" max="1" width="4.5546875" style="0" customWidth="1"/>
    <col min="2" max="2" width="3.6640625" style="0" customWidth="1"/>
    <col min="4" max="5" width="13.6640625" style="0" customWidth="1"/>
    <col min="6" max="9" width="13.3359375" style="0" customWidth="1"/>
    <col min="12" max="12" width="6.5546875" style="0" customWidth="1"/>
    <col min="14" max="14" width="5.10546875" style="0" customWidth="1"/>
    <col min="15" max="15" width="3.5546875" style="0" customWidth="1"/>
    <col min="16" max="16" width="3.3359375" style="0" customWidth="1"/>
  </cols>
  <sheetData>
    <row r="1" ht="13.5" thickBot="1"/>
    <row r="2" spans="5:9" ht="13.5" thickBot="1">
      <c r="E2" s="49"/>
      <c r="F2" s="15"/>
      <c r="G2" s="2" t="s">
        <v>65</v>
      </c>
      <c r="H2" s="15"/>
      <c r="I2" s="50"/>
    </row>
    <row r="3" spans="2:13" ht="12.75">
      <c r="B3" s="43" t="s">
        <v>87</v>
      </c>
      <c r="M3" s="38" t="s">
        <v>88</v>
      </c>
    </row>
    <row r="5" ht="12.75">
      <c r="B5" s="4" t="s">
        <v>111</v>
      </c>
    </row>
    <row r="6" ht="12.75">
      <c r="C6" t="s">
        <v>120</v>
      </c>
    </row>
    <row r="7" ht="12.75">
      <c r="C7" t="s">
        <v>121</v>
      </c>
    </row>
    <row r="8" ht="12.75">
      <c r="C8" t="s">
        <v>122</v>
      </c>
    </row>
    <row r="11" spans="6:13" ht="13.5" thickBot="1">
      <c r="F11" s="8">
        <v>2003</v>
      </c>
      <c r="I11" s="6"/>
      <c r="J11" s="43" t="s">
        <v>153</v>
      </c>
      <c r="K11" s="6"/>
      <c r="L11" s="6"/>
      <c r="M11" s="6"/>
    </row>
    <row r="12" spans="5:13" ht="13.5" thickBot="1">
      <c r="E12" s="5" t="s">
        <v>219</v>
      </c>
      <c r="F12" s="57">
        <f>'CDMT Cas d''étude'!AC25</f>
        <v>37000000</v>
      </c>
      <c r="I12" s="6">
        <v>1</v>
      </c>
      <c r="J12" s="6" t="s">
        <v>154</v>
      </c>
      <c r="K12" s="6"/>
      <c r="L12" s="6"/>
      <c r="M12" s="6"/>
    </row>
    <row r="13" spans="5:13" ht="13.5" thickBot="1">
      <c r="E13" s="5" t="s">
        <v>38</v>
      </c>
      <c r="F13" s="31">
        <f>'CDMT Cas d''étude'!AC26</f>
        <v>0.0275</v>
      </c>
      <c r="I13" s="6">
        <v>2</v>
      </c>
      <c r="J13" s="6" t="s">
        <v>41</v>
      </c>
      <c r="K13" s="6"/>
      <c r="L13" s="6"/>
      <c r="M13" s="6"/>
    </row>
    <row r="14" spans="5:11" ht="13.5" thickBot="1">
      <c r="E14" s="5" t="s">
        <v>220</v>
      </c>
      <c r="F14" s="57">
        <f>'CDMT Cas d''étude'!AC27</f>
        <v>7633212</v>
      </c>
      <c r="I14" s="6"/>
      <c r="J14" s="6" t="s">
        <v>42</v>
      </c>
      <c r="K14" s="6"/>
    </row>
    <row r="15" spans="5:13" ht="13.5" thickBot="1">
      <c r="E15" s="5" t="s">
        <v>231</v>
      </c>
      <c r="F15" s="58">
        <f>'CDMT Cas d''étude'!AC28</f>
        <v>206303.02702702704</v>
      </c>
      <c r="J15" s="36">
        <v>0.15</v>
      </c>
      <c r="K15" s="62" t="s">
        <v>161</v>
      </c>
      <c r="L15" s="6"/>
      <c r="M15" s="6"/>
    </row>
    <row r="16" spans="5:13" ht="13.5" thickBot="1">
      <c r="E16" s="5" t="s">
        <v>35</v>
      </c>
      <c r="F16" s="57">
        <f>'CDMT Cas d''étude'!AC29</f>
        <v>3700000</v>
      </c>
      <c r="G16" s="24">
        <v>0.1</v>
      </c>
      <c r="H16" s="6" t="s">
        <v>37</v>
      </c>
      <c r="I16" s="6"/>
      <c r="J16" s="6" t="s">
        <v>118</v>
      </c>
      <c r="K16" s="6"/>
      <c r="L16" s="6"/>
      <c r="M16" s="6"/>
    </row>
    <row r="17" spans="5:10" ht="13.5" thickBot="1">
      <c r="E17" s="5" t="s">
        <v>93</v>
      </c>
      <c r="F17" s="58">
        <f>'CDMT Cas d''étude'!AC30</f>
        <v>925000</v>
      </c>
      <c r="G17" s="24">
        <v>0.25</v>
      </c>
      <c r="H17" s="6" t="s">
        <v>39</v>
      </c>
      <c r="I17" s="6"/>
      <c r="J17" s="6" t="s">
        <v>119</v>
      </c>
    </row>
    <row r="18" spans="5:6" ht="13.5" thickBot="1">
      <c r="E18" s="5" t="s">
        <v>94</v>
      </c>
      <c r="F18" s="58">
        <f>'CDMT Cas d''étude'!AC31</f>
        <v>480380</v>
      </c>
    </row>
    <row r="19" spans="5:6" ht="13.5" thickBot="1">
      <c r="E19" s="5" t="s">
        <v>97</v>
      </c>
      <c r="F19" s="59">
        <v>3351550000000</v>
      </c>
    </row>
    <row r="20" spans="5:6" ht="13.5" thickBot="1">
      <c r="E20" s="5" t="s">
        <v>98</v>
      </c>
      <c r="F20" s="60">
        <f>'CDMT Cas d''étude'!AC33</f>
        <v>400000000</v>
      </c>
    </row>
    <row r="21" spans="5:6" ht="13.5" thickBot="1">
      <c r="E21" s="5" t="s">
        <v>140</v>
      </c>
      <c r="F21" s="61">
        <f>'CDMT Cas d''étude'!AC34</f>
        <v>0.08</v>
      </c>
    </row>
    <row r="22" spans="5:6" ht="12.75">
      <c r="E22" s="5"/>
      <c r="F22" s="63"/>
    </row>
    <row r="23" spans="4:7" ht="12.75">
      <c r="D23" s="48" t="s">
        <v>117</v>
      </c>
      <c r="F23" s="5"/>
      <c r="G23" s="63"/>
    </row>
    <row r="24" spans="5:9" ht="13.5" thickBot="1">
      <c r="E24" s="7">
        <v>0</v>
      </c>
      <c r="F24" s="7">
        <v>1</v>
      </c>
      <c r="G24" s="7">
        <v>2</v>
      </c>
      <c r="H24" s="7">
        <v>3</v>
      </c>
      <c r="I24" s="7">
        <v>4</v>
      </c>
    </row>
    <row r="25" spans="4:9" ht="13.5" thickBot="1">
      <c r="D25" s="5" t="s">
        <v>68</v>
      </c>
      <c r="E25" s="29">
        <f>F12</f>
        <v>37000000</v>
      </c>
      <c r="F25" s="29">
        <f>E28*(1+$F$13)</f>
        <v>37067062.5</v>
      </c>
      <c r="G25" s="29">
        <f>F28*(1+$F$13)</f>
        <v>37134246.55078125</v>
      </c>
      <c r="H25" s="29">
        <f>G28*(1+$F$13)</f>
        <v>37201552.37265455</v>
      </c>
      <c r="I25" s="29">
        <f>H28*(1+$F$13)</f>
        <v>37268980.18632998</v>
      </c>
    </row>
    <row r="26" spans="4:9" ht="13.5" thickBot="1">
      <c r="D26" s="5" t="s">
        <v>69</v>
      </c>
      <c r="E26" s="29">
        <f>$G$16*E25</f>
        <v>3700000</v>
      </c>
      <c r="F26" s="29">
        <f>$G$16*F25</f>
        <v>3706706.25</v>
      </c>
      <c r="G26" s="29">
        <f>$G$16*G25</f>
        <v>3713424.655078125</v>
      </c>
      <c r="H26" s="29">
        <f>$G$16*H25</f>
        <v>3720155.237265455</v>
      </c>
      <c r="I26" s="29">
        <f>$G$16*I25</f>
        <v>3726898.0186329987</v>
      </c>
    </row>
    <row r="27" spans="4:9" ht="13.5" thickBot="1">
      <c r="D27" s="5" t="s">
        <v>70</v>
      </c>
      <c r="E27" s="32">
        <f>$G$17*E26</f>
        <v>925000</v>
      </c>
      <c r="F27" s="32">
        <f>$G$17*F26</f>
        <v>926676.5625</v>
      </c>
      <c r="G27" s="32">
        <f>$G$17*G26</f>
        <v>928356.1637695313</v>
      </c>
      <c r="H27" s="32">
        <f>$G$17*H26</f>
        <v>930038.8093163638</v>
      </c>
      <c r="I27" s="32">
        <f>$G$17*I26</f>
        <v>931724.5046582497</v>
      </c>
    </row>
    <row r="28" spans="4:9" ht="13.5" thickBot="1">
      <c r="D28" s="5" t="s">
        <v>71</v>
      </c>
      <c r="E28" s="29">
        <f>E25-E27</f>
        <v>36075000</v>
      </c>
      <c r="F28" s="29">
        <f>F25-F27</f>
        <v>36140385.9375</v>
      </c>
      <c r="G28" s="29">
        <f>G25-G27</f>
        <v>36205890.38701172</v>
      </c>
      <c r="H28" s="29">
        <f>H25-H27</f>
        <v>36271513.56333818</v>
      </c>
      <c r="I28" s="29">
        <f>I25-I27</f>
        <v>36337255.68167173</v>
      </c>
    </row>
    <row r="29" spans="4:9" ht="13.5" thickBot="1">
      <c r="D29" s="5" t="s">
        <v>72</v>
      </c>
      <c r="E29" s="29">
        <f>E28</f>
        <v>36075000</v>
      </c>
      <c r="F29" s="29">
        <f>E29*(1+$F$13)</f>
        <v>37067062.5</v>
      </c>
      <c r="G29" s="29">
        <f>F29*(1+$F$13)</f>
        <v>38086406.71875</v>
      </c>
      <c r="H29" s="29">
        <f>G29*(1+$F$13)</f>
        <v>39133782.90351563</v>
      </c>
      <c r="I29" s="29">
        <f>H29*(1+$F$13)</f>
        <v>40209961.93336231</v>
      </c>
    </row>
    <row r="30" spans="4:9" ht="13.5" thickBot="1">
      <c r="D30" s="5" t="s">
        <v>73</v>
      </c>
      <c r="E30" s="30">
        <f>E29-E28</f>
        <v>0</v>
      </c>
      <c r="F30" s="32">
        <f>F29-F28</f>
        <v>926676.5625</v>
      </c>
      <c r="G30" s="29">
        <f>G29-G28</f>
        <v>1880516.3317382783</v>
      </c>
      <c r="H30" s="29">
        <f>H29-H28</f>
        <v>2862269.3401774466</v>
      </c>
      <c r="I30" s="29">
        <f>I29-I28</f>
        <v>3872706.2516905814</v>
      </c>
    </row>
    <row r="31" spans="4:9" ht="12.75">
      <c r="D31" s="5"/>
      <c r="E31" s="51"/>
      <c r="F31" s="52"/>
      <c r="G31" s="52"/>
      <c r="H31" s="52"/>
      <c r="I31" s="52"/>
    </row>
    <row r="32" spans="4:9" ht="13.5" thickBot="1">
      <c r="D32" s="38" t="s">
        <v>115</v>
      </c>
      <c r="E32" s="7">
        <v>0</v>
      </c>
      <c r="F32" s="7">
        <v>1</v>
      </c>
      <c r="G32" s="7">
        <v>2</v>
      </c>
      <c r="H32" s="7">
        <v>3</v>
      </c>
      <c r="I32" s="7">
        <v>4</v>
      </c>
    </row>
    <row r="33" spans="4:9" ht="13.5" thickBot="1">
      <c r="D33" s="5" t="s">
        <v>138</v>
      </c>
      <c r="E33" s="53">
        <f>$F$19</f>
        <v>3351550000000</v>
      </c>
      <c r="F33" s="34"/>
      <c r="G33" s="34"/>
      <c r="H33" s="34"/>
      <c r="I33" s="34"/>
    </row>
    <row r="34" spans="4:9" ht="13.5" thickBot="1">
      <c r="D34" s="5" t="s">
        <v>66</v>
      </c>
      <c r="E34" s="53"/>
      <c r="F34" s="42">
        <f>$F$20</f>
        <v>400000000</v>
      </c>
      <c r="G34" s="42">
        <f>$F$20</f>
        <v>400000000</v>
      </c>
      <c r="H34" s="42">
        <f>$F$20</f>
        <v>400000000</v>
      </c>
      <c r="I34" s="42">
        <f>$F$20</f>
        <v>400000000</v>
      </c>
    </row>
    <row r="35" spans="4:9" ht="13.5" thickBot="1">
      <c r="D35" s="5" t="s">
        <v>67</v>
      </c>
      <c r="E35" s="53"/>
      <c r="F35" s="33">
        <f>$F$18*F30</f>
        <v>445156887093.75</v>
      </c>
      <c r="G35" s="33">
        <f>$F$18*G30</f>
        <v>903362435440.4341</v>
      </c>
      <c r="H35" s="53">
        <f>$F$18*H30</f>
        <v>1374976945634.442</v>
      </c>
      <c r="I35" s="53">
        <f>$F$18*I30</f>
        <v>1860370629187.1216</v>
      </c>
    </row>
    <row r="36" spans="4:9" ht="13.5" thickBot="1">
      <c r="D36" s="5" t="s">
        <v>142</v>
      </c>
      <c r="E36" s="54">
        <f>E35-E34-E33</f>
        <v>-3351550000000</v>
      </c>
      <c r="F36" s="41">
        <f>F35-F34-F33</f>
        <v>444756887093.75</v>
      </c>
      <c r="G36" s="41">
        <f>G35-G34-G33</f>
        <v>902962435440.4341</v>
      </c>
      <c r="H36" s="53">
        <f>H35-H34-H33</f>
        <v>1374576945634.442</v>
      </c>
      <c r="I36" s="53">
        <f>I35-I34-I33</f>
        <v>1859970629187.1216</v>
      </c>
    </row>
    <row r="37" spans="4:9" ht="13.5" thickBot="1">
      <c r="D37" s="5" t="s">
        <v>140</v>
      </c>
      <c r="E37" s="31">
        <f>$F$21</f>
        <v>0.08</v>
      </c>
      <c r="F37" s="39"/>
      <c r="G37" s="39"/>
      <c r="H37" s="39"/>
      <c r="I37" s="39"/>
    </row>
    <row r="38" spans="4:9" ht="13.5" thickBot="1">
      <c r="D38" s="5" t="s">
        <v>116</v>
      </c>
      <c r="E38" s="35">
        <f>1/(1+$F$21)^E32</f>
        <v>1</v>
      </c>
      <c r="F38" s="35">
        <f>1/(1+$F$21)^F32</f>
        <v>0.9259259259259258</v>
      </c>
      <c r="G38" s="35">
        <f>1/(1+$F$21)^G32</f>
        <v>0.8573388203017832</v>
      </c>
      <c r="H38" s="35">
        <f>1/(1+$F$21)^H32</f>
        <v>0.7938322410201696</v>
      </c>
      <c r="I38" s="35">
        <f>1/(1+$F$21)^I32</f>
        <v>0.7350298527964533</v>
      </c>
    </row>
    <row r="39" spans="4:9" ht="13.5" thickBot="1">
      <c r="D39" s="5" t="s">
        <v>143</v>
      </c>
      <c r="E39" s="53">
        <f>E38*E36</f>
        <v>-3351550000000</v>
      </c>
      <c r="F39" s="45">
        <f>F38*F36</f>
        <v>411811932494.2129</v>
      </c>
      <c r="G39" s="45">
        <f>G38*G36</f>
        <v>774144749177.3268</v>
      </c>
      <c r="H39" s="53">
        <f>H38*H36</f>
        <v>1091183497207.6488</v>
      </c>
      <c r="I39" s="53">
        <f>I38*I36</f>
        <v>1367133937777.1365</v>
      </c>
    </row>
    <row r="40" spans="4:9" ht="13.5" thickBot="1">
      <c r="D40" s="5" t="s">
        <v>144</v>
      </c>
      <c r="E40" s="41">
        <f>SUM(E39:I39)</f>
        <v>292724116656.3248</v>
      </c>
      <c r="F40" s="6"/>
      <c r="G40" s="6"/>
      <c r="H40" s="6"/>
      <c r="I40" s="6"/>
    </row>
    <row r="41" spans="4:9" ht="13.5" thickBot="1">
      <c r="D41" s="5" t="s">
        <v>238</v>
      </c>
      <c r="E41" s="55">
        <f>IRR(E36:I36,F21)</f>
        <v>0.11139889887469878</v>
      </c>
      <c r="F41" s="56"/>
      <c r="G41" s="6"/>
      <c r="H41" s="6"/>
      <c r="I41" s="6"/>
    </row>
    <row r="42" spans="4:9" ht="12.75">
      <c r="D42" s="38" t="s">
        <v>147</v>
      </c>
      <c r="E42" s="6"/>
      <c r="F42" s="6"/>
      <c r="G42" s="6"/>
      <c r="H42" s="6"/>
      <c r="I42" s="6"/>
    </row>
    <row r="43" spans="4:9" ht="13.5" thickBot="1">
      <c r="D43" s="38" t="s">
        <v>115</v>
      </c>
      <c r="E43" s="7">
        <v>0</v>
      </c>
      <c r="F43" s="7">
        <v>1</v>
      </c>
      <c r="G43" s="7">
        <v>2</v>
      </c>
      <c r="H43" s="7">
        <v>3</v>
      </c>
      <c r="I43" s="7">
        <v>4</v>
      </c>
    </row>
    <row r="44" spans="4:9" ht="13.5" thickBot="1">
      <c r="D44" s="5" t="s">
        <v>138</v>
      </c>
      <c r="E44" s="53">
        <f>$F$19*1.15</f>
        <v>3854282499999.9995</v>
      </c>
      <c r="F44" s="34"/>
      <c r="G44" s="34"/>
      <c r="H44" s="34"/>
      <c r="I44" s="34"/>
    </row>
    <row r="45" spans="4:9" ht="13.5" thickBot="1">
      <c r="D45" s="5" t="s">
        <v>66</v>
      </c>
      <c r="E45" s="53"/>
      <c r="F45" s="42">
        <f>$F$20</f>
        <v>400000000</v>
      </c>
      <c r="G45" s="42">
        <f>$F$20</f>
        <v>400000000</v>
      </c>
      <c r="H45" s="42">
        <f>$F$20</f>
        <v>400000000</v>
      </c>
      <c r="I45" s="42">
        <f>$F$20</f>
        <v>400000000</v>
      </c>
    </row>
    <row r="46" spans="4:9" ht="13.5" thickBot="1">
      <c r="D46" s="5" t="s">
        <v>67</v>
      </c>
      <c r="E46" s="53"/>
      <c r="F46" s="33">
        <f>$F$18*F30</f>
        <v>445156887093.75</v>
      </c>
      <c r="G46" s="33">
        <f>$F$18*G30</f>
        <v>903362435440.4341</v>
      </c>
      <c r="H46" s="33">
        <f>$F$18*H30</f>
        <v>1374976945634.442</v>
      </c>
      <c r="I46" s="33">
        <f>$F$18*I30</f>
        <v>1860370629187.1216</v>
      </c>
    </row>
    <row r="47" spans="4:9" ht="13.5" thickBot="1">
      <c r="D47" s="5" t="s">
        <v>142</v>
      </c>
      <c r="E47" s="54">
        <f>E46-E45-E44</f>
        <v>-3854282499999.9995</v>
      </c>
      <c r="F47" s="41">
        <f>F46-F45-F44</f>
        <v>444756887093.75</v>
      </c>
      <c r="G47" s="41">
        <f>G46-G45-G44</f>
        <v>902962435440.4341</v>
      </c>
      <c r="H47" s="53">
        <f>H46-H45-H44</f>
        <v>1374576945634.442</v>
      </c>
      <c r="I47" s="53">
        <f>I46-I45-I44</f>
        <v>1859970629187.1216</v>
      </c>
    </row>
    <row r="48" spans="4:9" ht="13.5" thickBot="1">
      <c r="D48" s="5" t="s">
        <v>140</v>
      </c>
      <c r="E48" s="31">
        <f>$F$21</f>
        <v>0.08</v>
      </c>
      <c r="F48" s="39"/>
      <c r="G48" s="39"/>
      <c r="H48" s="39"/>
      <c r="I48" s="39"/>
    </row>
    <row r="49" spans="4:9" ht="13.5" thickBot="1">
      <c r="D49" s="5" t="s">
        <v>116</v>
      </c>
      <c r="E49" s="35">
        <f>1/(1+$F$21)^E43</f>
        <v>1</v>
      </c>
      <c r="F49" s="35">
        <f>1/(1+$F$21)^F43</f>
        <v>0.9259259259259258</v>
      </c>
      <c r="G49" s="35">
        <f>1/(1+$F$21)^G43</f>
        <v>0.8573388203017832</v>
      </c>
      <c r="H49" s="35">
        <f>1/(1+$F$21)^H43</f>
        <v>0.7938322410201696</v>
      </c>
      <c r="I49" s="35">
        <f>1/(1+$F$21)^I43</f>
        <v>0.7350298527964533</v>
      </c>
    </row>
    <row r="50" spans="4:9" ht="13.5" thickBot="1">
      <c r="D50" s="5" t="s">
        <v>143</v>
      </c>
      <c r="E50" s="53">
        <f>E49*E47</f>
        <v>-3854282499999.9995</v>
      </c>
      <c r="F50" s="45">
        <f>F49*F47</f>
        <v>411811932494.2129</v>
      </c>
      <c r="G50" s="45">
        <f>G49*G47</f>
        <v>774144749177.3268</v>
      </c>
      <c r="H50" s="53">
        <f>H49*H47</f>
        <v>1091183497207.6488</v>
      </c>
      <c r="I50" s="53">
        <f>I49*I47</f>
        <v>1367133937777.1365</v>
      </c>
    </row>
    <row r="51" spans="4:9" ht="13.5" thickBot="1">
      <c r="D51" s="5" t="s">
        <v>144</v>
      </c>
      <c r="E51" s="41">
        <f>SUM(E50:I50)</f>
        <v>-210008383343.67456</v>
      </c>
      <c r="F51" s="6"/>
      <c r="G51" s="6"/>
      <c r="H51" s="6"/>
      <c r="I51" s="6"/>
    </row>
    <row r="52" spans="4:9" ht="13.5" thickBot="1">
      <c r="D52" s="5" t="s">
        <v>238</v>
      </c>
      <c r="E52" s="55" t="e">
        <f>IRR(E47:I47,H34)</f>
        <v>#NUM!</v>
      </c>
      <c r="F52" s="56"/>
      <c r="G52" s="6"/>
      <c r="H52" s="6"/>
      <c r="I52" s="6"/>
    </row>
    <row r="54" ht="13.5" thickBot="1"/>
    <row r="55" spans="6:8" ht="13.5" thickBot="1">
      <c r="F55" s="1"/>
      <c r="G55" s="64" t="s">
        <v>199</v>
      </c>
      <c r="H55" s="3"/>
    </row>
    <row r="57" spans="5:9" ht="13.5" thickBot="1">
      <c r="E57" s="7">
        <v>0</v>
      </c>
      <c r="F57" s="7">
        <v>1</v>
      </c>
      <c r="G57" s="7">
        <v>2</v>
      </c>
      <c r="H57" s="7">
        <v>3</v>
      </c>
      <c r="I57" s="7">
        <v>4</v>
      </c>
    </row>
    <row r="58" spans="4:9" ht="13.5" thickBot="1">
      <c r="D58" s="5" t="s">
        <v>138</v>
      </c>
      <c r="E58" s="53">
        <f>E33</f>
        <v>3351550000000</v>
      </c>
      <c r="F58" s="53">
        <f>F33</f>
        <v>0</v>
      </c>
      <c r="G58" s="53">
        <f>G33</f>
        <v>0</v>
      </c>
      <c r="H58" s="53">
        <f>H33</f>
        <v>0</v>
      </c>
      <c r="I58" s="53">
        <f>I33</f>
        <v>0</v>
      </c>
    </row>
    <row r="59" ht="13.5" thickBot="1"/>
    <row r="60" spans="5:9" ht="13.5" thickBot="1">
      <c r="E60" s="1"/>
      <c r="F60" s="15"/>
      <c r="G60" s="2" t="s">
        <v>200</v>
      </c>
      <c r="H60" s="15"/>
      <c r="I60" s="3"/>
    </row>
    <row r="61" spans="5:9" ht="13.5" thickBot="1">
      <c r="E61" s="7">
        <v>0</v>
      </c>
      <c r="F61" s="7">
        <v>1</v>
      </c>
      <c r="G61" s="7">
        <v>2</v>
      </c>
      <c r="H61" s="7">
        <v>3</v>
      </c>
      <c r="I61" s="7">
        <v>4</v>
      </c>
    </row>
    <row r="62" spans="4:9" ht="13.5" thickBot="1">
      <c r="D62" s="5" t="s">
        <v>201</v>
      </c>
      <c r="E62" s="42">
        <f>E34</f>
        <v>0</v>
      </c>
      <c r="F62" s="42">
        <f>F34</f>
        <v>400000000</v>
      </c>
      <c r="G62" s="42">
        <f>G34</f>
        <v>400000000</v>
      </c>
      <c r="H62" s="42">
        <f>H34</f>
        <v>400000000</v>
      </c>
      <c r="I62" s="42">
        <f>I34</f>
        <v>400000000</v>
      </c>
    </row>
  </sheetData>
  <sheetProtection/>
  <printOptions/>
  <pageMargins left="0.3" right="0.3" top="0.7" bottom="0.7" header="0.5" footer="0.5"/>
  <pageSetup orientation="landscape" paperSize="9" scale="70"/>
  <headerFooter alignWithMargins="0">
    <oddHeader>&amp;L&amp;10Fiche 4&amp;C&amp;10Corrigé au Projet Contre le SIDA</oddHeader>
    <oddFooter>&amp;C&amp;10-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A6" sqref="A6"/>
    </sheetView>
  </sheetViews>
  <sheetFormatPr defaultColWidth="11.5546875" defaultRowHeight="15.75"/>
  <cols>
    <col min="1" max="1" width="10.88671875" style="0" customWidth="1"/>
    <col min="3" max="11" width="12.4453125" style="0" customWidth="1"/>
    <col min="12" max="12" width="3.10546875" style="0" customWidth="1"/>
  </cols>
  <sheetData>
    <row r="1" spans="4:8" ht="13.5" thickBot="1">
      <c r="D1" s="1"/>
      <c r="E1" s="15"/>
      <c r="F1" s="2" t="s">
        <v>212</v>
      </c>
      <c r="G1" s="15"/>
      <c r="H1" s="3"/>
    </row>
    <row r="2" spans="1:11" ht="12.75">
      <c r="A2" s="38" t="s">
        <v>87</v>
      </c>
      <c r="K2" s="38" t="s">
        <v>88</v>
      </c>
    </row>
    <row r="3" ht="12.75">
      <c r="B3" s="68" t="s">
        <v>111</v>
      </c>
    </row>
    <row r="4" ht="12.75">
      <c r="B4" t="s">
        <v>235</v>
      </c>
    </row>
    <row r="5" ht="12.75">
      <c r="B5" t="s">
        <v>160</v>
      </c>
    </row>
    <row r="6" ht="13.5" thickBot="1">
      <c r="E6" s="8">
        <v>2003</v>
      </c>
    </row>
    <row r="7" spans="4:5" ht="13.5" thickBot="1">
      <c r="D7" s="5" t="s">
        <v>184</v>
      </c>
      <c r="E7" s="57">
        <f>'CDMT Cas d''étude'!AO32</f>
        <v>23000000</v>
      </c>
    </row>
    <row r="8" spans="4:7" ht="13.5" thickBot="1">
      <c r="D8" s="5" t="s">
        <v>36</v>
      </c>
      <c r="E8" s="61">
        <f>'CDMT Cas d''étude'!AO33</f>
        <v>0.03</v>
      </c>
      <c r="G8" s="4" t="s">
        <v>153</v>
      </c>
    </row>
    <row r="9" spans="4:11" ht="13.5" thickBot="1">
      <c r="D9" s="5" t="s">
        <v>218</v>
      </c>
      <c r="E9" s="57">
        <f>'CDMT Cas d''étude'!AO34</f>
        <v>2372485</v>
      </c>
      <c r="F9">
        <v>1</v>
      </c>
      <c r="G9" s="6" t="s">
        <v>154</v>
      </c>
      <c r="H9" s="6"/>
      <c r="I9" s="6"/>
      <c r="K9" s="6"/>
    </row>
    <row r="10" spans="4:11" ht="13.5" thickBot="1">
      <c r="D10" s="5" t="s">
        <v>230</v>
      </c>
      <c r="E10" s="58">
        <f>'CDMT Cas d''étude'!AO35</f>
        <v>103151.52173913043</v>
      </c>
      <c r="F10">
        <v>2</v>
      </c>
      <c r="G10" s="6" t="s">
        <v>41</v>
      </c>
      <c r="H10" s="6"/>
      <c r="I10" s="6"/>
      <c r="K10" s="6"/>
    </row>
    <row r="11" spans="4:11" ht="13.5" thickBot="1">
      <c r="D11" s="5" t="s">
        <v>197</v>
      </c>
      <c r="E11" s="61">
        <f>'CDMT Cas d''étude'!AO36</f>
        <v>0.25</v>
      </c>
      <c r="G11" s="6" t="s">
        <v>42</v>
      </c>
      <c r="H11" s="6"/>
      <c r="I11" s="36">
        <v>0.2</v>
      </c>
      <c r="K11" s="6"/>
    </row>
    <row r="12" spans="4:11" ht="13.5" thickBot="1">
      <c r="D12" s="5" t="s">
        <v>198</v>
      </c>
      <c r="E12" s="61">
        <f>'CDMT Cas d''étude'!AO37</f>
        <v>0.05</v>
      </c>
      <c r="G12" s="6" t="s">
        <v>161</v>
      </c>
      <c r="H12" s="6"/>
      <c r="I12" s="6"/>
      <c r="K12" s="6"/>
    </row>
    <row r="13" spans="4:11" ht="13.5" thickBot="1">
      <c r="D13" s="5" t="s">
        <v>128</v>
      </c>
      <c r="E13" s="61">
        <f>'CDMT Cas d''étude'!AO38</f>
        <v>0.3</v>
      </c>
      <c r="F13">
        <v>3</v>
      </c>
      <c r="G13" s="6" t="s">
        <v>118</v>
      </c>
      <c r="H13" s="6"/>
      <c r="I13" s="6"/>
      <c r="K13" s="6"/>
    </row>
    <row r="14" spans="4:11" ht="13.5" thickBot="1">
      <c r="D14" s="5" t="s">
        <v>213</v>
      </c>
      <c r="E14" s="61">
        <f>'CDMT Cas d''étude'!AO39</f>
        <v>0.1</v>
      </c>
      <c r="G14" s="6" t="s">
        <v>119</v>
      </c>
      <c r="H14" s="6"/>
      <c r="I14" s="6"/>
      <c r="K14" s="6"/>
    </row>
    <row r="15" spans="4:11" ht="13.5" thickBot="1">
      <c r="D15" s="5" t="s">
        <v>131</v>
      </c>
      <c r="E15" s="58">
        <f>'CDMT Cas d''étude'!AO40</f>
        <v>900000</v>
      </c>
      <c r="H15" s="6"/>
      <c r="I15" s="6"/>
      <c r="J15" s="6"/>
      <c r="K15" s="6"/>
    </row>
    <row r="16" spans="4:5" ht="13.5" thickBot="1">
      <c r="D16" s="5" t="s">
        <v>132</v>
      </c>
      <c r="E16" s="58">
        <f>'CDMT Cas d''étude'!AO41</f>
        <v>4000</v>
      </c>
    </row>
    <row r="17" spans="4:5" ht="13.5" thickBot="1">
      <c r="D17" s="5" t="s">
        <v>133</v>
      </c>
      <c r="E17" s="58">
        <f>'CDMT Cas d''étude'!AO42</f>
        <v>600000</v>
      </c>
    </row>
    <row r="18" spans="4:5" ht="13.5" thickBot="1">
      <c r="D18" s="5" t="s">
        <v>134</v>
      </c>
      <c r="E18" s="58">
        <f>'CDMT Cas d''étude'!AO43</f>
        <v>6000</v>
      </c>
    </row>
    <row r="19" spans="4:5" ht="13.5" thickBot="1">
      <c r="D19" s="5" t="s">
        <v>135</v>
      </c>
      <c r="E19" s="65" t="str">
        <f>'CDMT Cas d''étude'!AO44</f>
        <v>4,5</v>
      </c>
    </row>
    <row r="20" spans="4:5" ht="13.5" thickBot="1">
      <c r="D20" s="5" t="s">
        <v>136</v>
      </c>
      <c r="E20" s="66">
        <f>'CDMT Cas d''étude'!AO45</f>
        <v>25000000</v>
      </c>
    </row>
    <row r="21" spans="4:5" ht="13.5" thickBot="1">
      <c r="D21" s="5" t="s">
        <v>140</v>
      </c>
      <c r="E21" s="61">
        <f>'CDMT Cas d''étude'!AO46</f>
        <v>0.08</v>
      </c>
    </row>
    <row r="22" ht="12.75">
      <c r="B22" s="43" t="s">
        <v>13</v>
      </c>
    </row>
    <row r="23" spans="3:11" ht="13.5" thickBot="1">
      <c r="C23" s="7">
        <v>2003</v>
      </c>
      <c r="D23" s="7">
        <v>2004</v>
      </c>
      <c r="E23" s="7">
        <v>2005</v>
      </c>
      <c r="F23" s="7">
        <v>2006</v>
      </c>
      <c r="G23" s="7">
        <v>2007</v>
      </c>
      <c r="H23" s="7">
        <v>2008</v>
      </c>
      <c r="I23" s="7">
        <v>2009</v>
      </c>
      <c r="J23" s="7">
        <v>2010</v>
      </c>
      <c r="K23" s="7">
        <v>2011</v>
      </c>
    </row>
    <row r="24" spans="2:11" ht="13.5" thickBot="1">
      <c r="B24" s="5" t="s">
        <v>59</v>
      </c>
      <c r="C24" s="29">
        <f>$E$7</f>
        <v>23000000</v>
      </c>
      <c r="D24" s="29">
        <f aca="true" t="shared" si="0" ref="D24:K24">C24*(1+$E$8)</f>
        <v>23690000</v>
      </c>
      <c r="E24" s="29">
        <f t="shared" si="0"/>
        <v>24400700</v>
      </c>
      <c r="F24" s="29">
        <f t="shared" si="0"/>
        <v>25132721</v>
      </c>
      <c r="G24" s="29">
        <f t="shared" si="0"/>
        <v>25886702.63</v>
      </c>
      <c r="H24" s="29">
        <f t="shared" si="0"/>
        <v>26663303.7089</v>
      </c>
      <c r="I24" s="29">
        <f t="shared" si="0"/>
        <v>27463202.820167</v>
      </c>
      <c r="J24" s="29">
        <f t="shared" si="0"/>
        <v>28287098.904772013</v>
      </c>
      <c r="K24" s="29">
        <f t="shared" si="0"/>
        <v>29135711.871915173</v>
      </c>
    </row>
    <row r="25" spans="2:11" ht="13.5" thickBot="1">
      <c r="B25" s="5" t="s">
        <v>60</v>
      </c>
      <c r="C25" s="29">
        <f aca="true" t="shared" si="1" ref="C25:K25">C24*$E$11</f>
        <v>5750000</v>
      </c>
      <c r="D25" s="29">
        <f t="shared" si="1"/>
        <v>5922500</v>
      </c>
      <c r="E25" s="29">
        <f t="shared" si="1"/>
        <v>6100175</v>
      </c>
      <c r="F25" s="29">
        <f t="shared" si="1"/>
        <v>6283180.25</v>
      </c>
      <c r="G25" s="29">
        <f t="shared" si="1"/>
        <v>6471675.6575</v>
      </c>
      <c r="H25" s="29">
        <f t="shared" si="1"/>
        <v>6665825.927225</v>
      </c>
      <c r="I25" s="29">
        <f t="shared" si="1"/>
        <v>6865800.70504175</v>
      </c>
      <c r="J25" s="29">
        <f t="shared" si="1"/>
        <v>7071774.726193003</v>
      </c>
      <c r="K25" s="29">
        <f t="shared" si="1"/>
        <v>7283927.967978793</v>
      </c>
    </row>
    <row r="26" spans="2:11" ht="13.5" thickBot="1">
      <c r="B26" s="5" t="s">
        <v>63</v>
      </c>
      <c r="C26" s="29"/>
      <c r="D26" s="32">
        <f aca="true" t="shared" si="2" ref="D26:K26">C25*$E$12</f>
        <v>287500</v>
      </c>
      <c r="E26" s="32">
        <f t="shared" si="2"/>
        <v>296125</v>
      </c>
      <c r="F26" s="32">
        <f t="shared" si="2"/>
        <v>305008.75</v>
      </c>
      <c r="G26" s="32">
        <f t="shared" si="2"/>
        <v>314159.0125</v>
      </c>
      <c r="H26" s="32">
        <f t="shared" si="2"/>
        <v>323583.78287500003</v>
      </c>
      <c r="I26" s="32">
        <f t="shared" si="2"/>
        <v>333291.29636125005</v>
      </c>
      <c r="J26" s="32">
        <f t="shared" si="2"/>
        <v>343290.0352520875</v>
      </c>
      <c r="K26" s="32">
        <f t="shared" si="2"/>
        <v>353588.7363096502</v>
      </c>
    </row>
    <row r="27" spans="2:11" ht="13.5" thickBot="1">
      <c r="B27" s="5" t="s">
        <v>61</v>
      </c>
      <c r="C27" s="29">
        <f aca="true" t="shared" si="3" ref="C27:K27">C25*$E$13</f>
        <v>1725000</v>
      </c>
      <c r="D27" s="29">
        <f t="shared" si="3"/>
        <v>1776750</v>
      </c>
      <c r="E27" s="29">
        <f t="shared" si="3"/>
        <v>1830052.5</v>
      </c>
      <c r="F27" s="29">
        <f t="shared" si="3"/>
        <v>1884954.075</v>
      </c>
      <c r="G27" s="29">
        <f t="shared" si="3"/>
        <v>1941502.6972499997</v>
      </c>
      <c r="H27" s="29">
        <f t="shared" si="3"/>
        <v>1999747.7781675</v>
      </c>
      <c r="I27" s="29">
        <f t="shared" si="3"/>
        <v>2059740.211512525</v>
      </c>
      <c r="J27" s="29">
        <f t="shared" si="3"/>
        <v>2121532.4178579007</v>
      </c>
      <c r="K27" s="29">
        <f t="shared" si="3"/>
        <v>2185178.390393638</v>
      </c>
    </row>
    <row r="28" spans="2:11" ht="13.5" thickBot="1">
      <c r="B28" s="5" t="s">
        <v>62</v>
      </c>
      <c r="C28" s="32"/>
      <c r="D28" s="32"/>
      <c r="E28" s="32"/>
      <c r="F28" s="32">
        <f aca="true" t="shared" si="4" ref="F28:K28">F27*$E$14</f>
        <v>188495.4075</v>
      </c>
      <c r="G28" s="32">
        <f t="shared" si="4"/>
        <v>194150.269725</v>
      </c>
      <c r="H28" s="32">
        <f t="shared" si="4"/>
        <v>199974.77781675</v>
      </c>
      <c r="I28" s="32">
        <f t="shared" si="4"/>
        <v>205974.02115125253</v>
      </c>
      <c r="J28" s="32">
        <f t="shared" si="4"/>
        <v>212153.24178579007</v>
      </c>
      <c r="K28" s="32">
        <f t="shared" si="4"/>
        <v>218517.8390393638</v>
      </c>
    </row>
    <row r="29" spans="2:11" ht="13.5" thickBot="1">
      <c r="B29" s="5" t="s">
        <v>0</v>
      </c>
      <c r="C29" s="34"/>
      <c r="D29" s="32">
        <f>D26-D28</f>
        <v>287500</v>
      </c>
      <c r="E29" s="32">
        <f aca="true" t="shared" si="5" ref="E29:K29">E26-E28</f>
        <v>296125</v>
      </c>
      <c r="F29" s="32">
        <f t="shared" si="5"/>
        <v>116513.3425</v>
      </c>
      <c r="G29" s="32">
        <f t="shared" si="5"/>
        <v>120008.74277500002</v>
      </c>
      <c r="H29" s="32">
        <f t="shared" si="5"/>
        <v>123609.00505825004</v>
      </c>
      <c r="I29" s="32">
        <f t="shared" si="5"/>
        <v>127317.27520999752</v>
      </c>
      <c r="J29" s="32">
        <f t="shared" si="5"/>
        <v>131136.79346629744</v>
      </c>
      <c r="K29" s="32">
        <f t="shared" si="5"/>
        <v>135070.89727028637</v>
      </c>
    </row>
    <row r="30" ht="12.75">
      <c r="B30" s="5"/>
    </row>
    <row r="31" ht="12.75">
      <c r="B31" s="48" t="s">
        <v>1</v>
      </c>
    </row>
    <row r="32" spans="2:11" ht="13.5" thickBot="1">
      <c r="B32" s="5"/>
      <c r="C32" s="7">
        <v>2003</v>
      </c>
      <c r="D32" s="7">
        <v>2004</v>
      </c>
      <c r="E32" s="7">
        <v>2005</v>
      </c>
      <c r="F32" s="7">
        <v>2006</v>
      </c>
      <c r="G32" s="7">
        <v>2007</v>
      </c>
      <c r="H32" s="7">
        <v>2008</v>
      </c>
      <c r="I32" s="7">
        <v>2009</v>
      </c>
      <c r="J32" s="7">
        <v>2010</v>
      </c>
      <c r="K32" s="7">
        <v>2011</v>
      </c>
    </row>
    <row r="33" spans="2:11" ht="13.5" thickBot="1">
      <c r="B33" s="5" t="s">
        <v>138</v>
      </c>
      <c r="C33" s="41"/>
      <c r="D33" s="41">
        <f>$E$15*$F$28</f>
        <v>169645866750</v>
      </c>
      <c r="E33" s="41">
        <f>$E$15*$F$28</f>
        <v>169645866750</v>
      </c>
      <c r="F33" s="41">
        <v>0</v>
      </c>
      <c r="G33" s="45">
        <f>$E$15*(G28-F28)</f>
        <v>5089376002.49999</v>
      </c>
      <c r="H33" s="45">
        <f>$E$15*(H28-G28)</f>
        <v>5242057282.575002</v>
      </c>
      <c r="I33" s="45">
        <f>$E$15*(I28-H28)</f>
        <v>5399319001.052281</v>
      </c>
      <c r="J33" s="45">
        <f>$E$15*(J28-I28)</f>
        <v>5561298571.083791</v>
      </c>
      <c r="K33" s="45">
        <f>$E$15*(K28-J28)</f>
        <v>5728137528.216365</v>
      </c>
    </row>
    <row r="34" spans="2:11" ht="13.5" thickBot="1">
      <c r="B34" s="5" t="s">
        <v>2</v>
      </c>
      <c r="C34" s="42"/>
      <c r="D34" s="42"/>
      <c r="E34" s="42"/>
      <c r="F34" s="42">
        <f aca="true" t="shared" si="6" ref="F34:K34">$E$16*F28</f>
        <v>753981630</v>
      </c>
      <c r="G34" s="42">
        <f t="shared" si="6"/>
        <v>776601078.9</v>
      </c>
      <c r="H34" s="42">
        <f t="shared" si="6"/>
        <v>799899111.267</v>
      </c>
      <c r="I34" s="42">
        <f t="shared" si="6"/>
        <v>823896084.6050102</v>
      </c>
      <c r="J34" s="42">
        <f t="shared" si="6"/>
        <v>848612967.1431603</v>
      </c>
      <c r="K34" s="42">
        <f t="shared" si="6"/>
        <v>874071356.1574552</v>
      </c>
    </row>
    <row r="35" spans="2:11" ht="13.5" thickBot="1">
      <c r="B35" s="5" t="s">
        <v>3</v>
      </c>
      <c r="C35" s="45"/>
      <c r="D35" s="45"/>
      <c r="E35" s="45"/>
      <c r="F35" s="45">
        <f aca="true" t="shared" si="7" ref="F35:K35">$E$17*F28</f>
        <v>113097244500</v>
      </c>
      <c r="G35" s="45">
        <f t="shared" si="7"/>
        <v>116490161835</v>
      </c>
      <c r="H35" s="45">
        <f t="shared" si="7"/>
        <v>119984866690.05</v>
      </c>
      <c r="I35" s="45">
        <f t="shared" si="7"/>
        <v>123584412690.75151</v>
      </c>
      <c r="J35" s="45">
        <f t="shared" si="7"/>
        <v>127291945071.47404</v>
      </c>
      <c r="K35" s="45">
        <f t="shared" si="7"/>
        <v>131110703423.61829</v>
      </c>
    </row>
    <row r="36" spans="2:11" ht="13.5" thickBot="1">
      <c r="B36" s="5" t="s">
        <v>4</v>
      </c>
      <c r="C36" s="33"/>
      <c r="D36" s="33"/>
      <c r="E36" s="33"/>
      <c r="F36" s="33">
        <f aca="true" t="shared" si="8" ref="F36:K36">$E$18*F28</f>
        <v>1130972445</v>
      </c>
      <c r="G36" s="33">
        <f t="shared" si="8"/>
        <v>1164901618.35</v>
      </c>
      <c r="H36" s="33">
        <f t="shared" si="8"/>
        <v>1199848666.9005</v>
      </c>
      <c r="I36" s="33">
        <f t="shared" si="8"/>
        <v>1235844126.907515</v>
      </c>
      <c r="J36" s="33">
        <f t="shared" si="8"/>
        <v>1272919450.7147405</v>
      </c>
      <c r="K36" s="33">
        <f t="shared" si="8"/>
        <v>1311107034.236183</v>
      </c>
    </row>
    <row r="37" spans="2:11" ht="13.5" thickBot="1">
      <c r="B37" s="5" t="s">
        <v>214</v>
      </c>
      <c r="C37" s="41">
        <f>SUM(C33:C36)</f>
        <v>0</v>
      </c>
      <c r="D37" s="41">
        <f aca="true" t="shared" si="9" ref="D37:K37">SUM(D33:D36)</f>
        <v>169645866750</v>
      </c>
      <c r="E37" s="41">
        <f t="shared" si="9"/>
        <v>169645866750</v>
      </c>
      <c r="F37" s="41">
        <f t="shared" si="9"/>
        <v>114982198575</v>
      </c>
      <c r="G37" s="41">
        <f t="shared" si="9"/>
        <v>123521040534.75</v>
      </c>
      <c r="H37" s="41">
        <f t="shared" si="9"/>
        <v>127226671750.7925</v>
      </c>
      <c r="I37" s="41">
        <f t="shared" si="9"/>
        <v>131043471903.31631</v>
      </c>
      <c r="J37" s="41">
        <f t="shared" si="9"/>
        <v>134974776060.41573</v>
      </c>
      <c r="K37" s="41">
        <f t="shared" si="9"/>
        <v>139024019342.22827</v>
      </c>
    </row>
    <row r="38" spans="2:11" ht="12.75">
      <c r="B38" s="5"/>
      <c r="C38" s="77"/>
      <c r="D38" s="77"/>
      <c r="E38" s="77"/>
      <c r="F38" s="77"/>
      <c r="G38" s="77"/>
      <c r="H38" s="77"/>
      <c r="I38" s="77"/>
      <c r="J38" s="77"/>
      <c r="K38" s="77"/>
    </row>
    <row r="39" spans="2:11" ht="12.75">
      <c r="B39" s="5"/>
      <c r="C39" s="77"/>
      <c r="D39" s="77"/>
      <c r="E39" s="77"/>
      <c r="F39" s="77"/>
      <c r="G39" s="77"/>
      <c r="H39" s="77"/>
      <c r="I39" s="77"/>
      <c r="J39" s="77"/>
      <c r="K39" s="77"/>
    </row>
    <row r="40" spans="2:11" ht="12.75">
      <c r="B40" s="5"/>
      <c r="C40" s="77"/>
      <c r="D40" s="77"/>
      <c r="E40" s="77"/>
      <c r="F40" s="77"/>
      <c r="G40" s="77"/>
      <c r="H40" s="77"/>
      <c r="I40" s="77"/>
      <c r="J40" s="77"/>
      <c r="K40" s="77"/>
    </row>
    <row r="41" spans="2:11" ht="12.75">
      <c r="B41" s="5"/>
      <c r="C41" s="77"/>
      <c r="D41" s="77"/>
      <c r="E41" s="77"/>
      <c r="F41" s="77"/>
      <c r="G41" s="77"/>
      <c r="H41" s="77"/>
      <c r="I41" s="77"/>
      <c r="J41" s="77"/>
      <c r="K41" s="77"/>
    </row>
    <row r="42" spans="2:11" ht="12.75">
      <c r="B42" s="5"/>
      <c r="C42" s="77"/>
      <c r="D42" s="77"/>
      <c r="E42" s="77"/>
      <c r="F42" s="77"/>
      <c r="G42" s="77"/>
      <c r="H42" s="77"/>
      <c r="I42" s="77"/>
      <c r="J42" s="77"/>
      <c r="K42" s="77"/>
    </row>
    <row r="43" spans="2:11" ht="12.75">
      <c r="B43" s="5"/>
      <c r="C43" s="77"/>
      <c r="D43" s="77"/>
      <c r="E43" s="77"/>
      <c r="F43" s="77"/>
      <c r="G43" s="77"/>
      <c r="H43" s="77"/>
      <c r="I43" s="77"/>
      <c r="J43" s="77"/>
      <c r="K43" s="77"/>
    </row>
    <row r="44" spans="2:11" ht="12.75">
      <c r="B44" s="5"/>
      <c r="C44" s="77"/>
      <c r="D44" s="77"/>
      <c r="E44" s="77"/>
      <c r="F44" s="77"/>
      <c r="G44" s="77"/>
      <c r="H44" s="77"/>
      <c r="I44" s="77"/>
      <c r="J44" s="77"/>
      <c r="K44" s="77"/>
    </row>
    <row r="45" spans="2:11" ht="12.75">
      <c r="B45" s="5"/>
      <c r="C45" s="77"/>
      <c r="D45" s="77"/>
      <c r="E45" s="77"/>
      <c r="F45" s="77"/>
      <c r="G45" s="77"/>
      <c r="H45" s="77"/>
      <c r="I45" s="77"/>
      <c r="J45" s="77"/>
      <c r="K45" s="77"/>
    </row>
    <row r="46" spans="2:11" ht="12.75">
      <c r="B46" s="5"/>
      <c r="C46" s="77"/>
      <c r="D46" s="77"/>
      <c r="E46" s="77"/>
      <c r="F46" s="77"/>
      <c r="G46" s="77"/>
      <c r="H46" s="77"/>
      <c r="I46" s="77"/>
      <c r="J46" s="77"/>
      <c r="K46" s="77"/>
    </row>
    <row r="47" spans="2:11" ht="12.75">
      <c r="B47" s="5"/>
      <c r="C47" s="77"/>
      <c r="D47" s="77"/>
      <c r="E47" s="77"/>
      <c r="F47" s="77"/>
      <c r="G47" s="77"/>
      <c r="H47" s="77"/>
      <c r="I47" s="77"/>
      <c r="J47" s="77"/>
      <c r="K47" s="77"/>
    </row>
    <row r="48" spans="2:11" ht="12.75">
      <c r="B48" s="5"/>
      <c r="C48" s="77"/>
      <c r="D48" s="77"/>
      <c r="E48" s="77"/>
      <c r="F48" s="77"/>
      <c r="G48" s="77"/>
      <c r="H48" s="77"/>
      <c r="I48" s="77"/>
      <c r="J48" s="77"/>
      <c r="K48" s="77"/>
    </row>
    <row r="49" spans="2:11" ht="12.75">
      <c r="B49" s="5"/>
      <c r="C49" s="77"/>
      <c r="D49" s="77"/>
      <c r="E49" s="77"/>
      <c r="F49" s="77"/>
      <c r="G49" s="77"/>
      <c r="H49" s="77"/>
      <c r="I49" s="77"/>
      <c r="J49" s="77"/>
      <c r="K49" s="77"/>
    </row>
    <row r="50" spans="2:11" ht="12.75">
      <c r="B50" s="5"/>
      <c r="C50" s="77"/>
      <c r="D50" s="77"/>
      <c r="E50" s="77"/>
      <c r="F50" s="77"/>
      <c r="G50" s="77"/>
      <c r="H50" s="77"/>
      <c r="I50" s="77"/>
      <c r="J50" s="77"/>
      <c r="K50" s="77"/>
    </row>
    <row r="51" ht="12.75">
      <c r="B51" s="48" t="s">
        <v>146</v>
      </c>
    </row>
    <row r="52" spans="2:9" ht="13.5" thickBot="1">
      <c r="B52" s="5"/>
      <c r="C52" s="7">
        <v>0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</row>
    <row r="53" spans="2:9" ht="13.5" thickBot="1">
      <c r="B53" s="5" t="s">
        <v>5</v>
      </c>
      <c r="C53" s="32">
        <f>$E$15</f>
        <v>900000</v>
      </c>
      <c r="D53" s="32">
        <f>$E$15</f>
        <v>900000</v>
      </c>
      <c r="E53" s="32">
        <f>$E$15</f>
        <v>900000</v>
      </c>
      <c r="F53" s="32">
        <f>$E$15</f>
        <v>900000</v>
      </c>
      <c r="G53" s="32">
        <f>$E$15</f>
        <v>900000</v>
      </c>
      <c r="H53" s="32">
        <f>$E$15*0.5</f>
        <v>450000</v>
      </c>
      <c r="I53" s="29"/>
    </row>
    <row r="54" spans="2:9" ht="13.5" thickBot="1">
      <c r="B54" s="5" t="s">
        <v>6</v>
      </c>
      <c r="C54" s="32">
        <f>$E$16</f>
        <v>4000</v>
      </c>
      <c r="D54" s="32">
        <f>$E$16</f>
        <v>4000</v>
      </c>
      <c r="E54" s="32">
        <f>$E$16</f>
        <v>4000</v>
      </c>
      <c r="F54" s="32">
        <f>$E$16</f>
        <v>4000</v>
      </c>
      <c r="G54" s="32">
        <f>$E$16</f>
        <v>4000</v>
      </c>
      <c r="H54" s="32">
        <f>$E$16*0.5</f>
        <v>2000</v>
      </c>
      <c r="I54" s="32"/>
    </row>
    <row r="55" spans="2:9" ht="13.5" thickBot="1">
      <c r="B55" s="5" t="s">
        <v>7</v>
      </c>
      <c r="C55" s="32">
        <f>$E$17</f>
        <v>600000</v>
      </c>
      <c r="D55" s="32">
        <f>$E$17</f>
        <v>600000</v>
      </c>
      <c r="E55" s="32">
        <f>$E$17</f>
        <v>600000</v>
      </c>
      <c r="F55" s="32">
        <f>$E$17</f>
        <v>600000</v>
      </c>
      <c r="G55" s="32">
        <f>$E$17</f>
        <v>600000</v>
      </c>
      <c r="H55" s="32">
        <f>$E$17*0.5</f>
        <v>300000</v>
      </c>
      <c r="I55" s="29"/>
    </row>
    <row r="56" spans="2:9" ht="13.5" thickBot="1">
      <c r="B56" s="5" t="s">
        <v>8</v>
      </c>
      <c r="C56" s="32">
        <f>$E$18</f>
        <v>6000</v>
      </c>
      <c r="D56" s="32">
        <f>$E$18</f>
        <v>6000</v>
      </c>
      <c r="E56" s="32">
        <f>$E$18</f>
        <v>6000</v>
      </c>
      <c r="F56" s="32">
        <f>$E$18</f>
        <v>6000</v>
      </c>
      <c r="G56" s="32">
        <f>$E$18</f>
        <v>6000</v>
      </c>
      <c r="H56" s="32">
        <f>$E$18*0.5</f>
        <v>3000</v>
      </c>
      <c r="I56" s="32"/>
    </row>
    <row r="57" spans="2:9" ht="13.5" thickBot="1">
      <c r="B57" s="5" t="s">
        <v>9</v>
      </c>
      <c r="C57" s="29">
        <f aca="true" t="shared" si="10" ref="C57:H57">SUM(C53:C56)</f>
        <v>1510000</v>
      </c>
      <c r="D57" s="29">
        <f t="shared" si="10"/>
        <v>1510000</v>
      </c>
      <c r="E57" s="29">
        <f t="shared" si="10"/>
        <v>1510000</v>
      </c>
      <c r="F57" s="29">
        <f t="shared" si="10"/>
        <v>1510000</v>
      </c>
      <c r="G57" s="29">
        <f t="shared" si="10"/>
        <v>1510000</v>
      </c>
      <c r="H57" s="32">
        <f t="shared" si="10"/>
        <v>755000</v>
      </c>
      <c r="I57" s="29"/>
    </row>
    <row r="58" spans="2:9" ht="13.5" thickBot="1">
      <c r="B58" s="5" t="s">
        <v>10</v>
      </c>
      <c r="C58" s="22"/>
      <c r="D58" s="22"/>
      <c r="E58" s="22"/>
      <c r="F58" s="22"/>
      <c r="G58" s="22"/>
      <c r="H58" s="22"/>
      <c r="I58" s="29">
        <f>$E$20/(1+$E$21)^I52</f>
        <v>15754240.672077615</v>
      </c>
    </row>
    <row r="59" spans="2:9" ht="13.5" thickBot="1">
      <c r="B59" s="5" t="s">
        <v>11</v>
      </c>
      <c r="C59" s="67">
        <f>C58-C57</f>
        <v>-1510000</v>
      </c>
      <c r="D59" s="29">
        <f aca="true" t="shared" si="11" ref="D59:I59">D58-D57</f>
        <v>-1510000</v>
      </c>
      <c r="E59" s="29">
        <f t="shared" si="11"/>
        <v>-1510000</v>
      </c>
      <c r="F59" s="29">
        <f t="shared" si="11"/>
        <v>-1510000</v>
      </c>
      <c r="G59" s="29">
        <f t="shared" si="11"/>
        <v>-1510000</v>
      </c>
      <c r="H59" s="29">
        <f t="shared" si="11"/>
        <v>-755000</v>
      </c>
      <c r="I59" s="29">
        <f t="shared" si="11"/>
        <v>15754240.672077615</v>
      </c>
    </row>
    <row r="60" spans="2:3" ht="13.5" thickBot="1">
      <c r="B60" s="5" t="s">
        <v>140</v>
      </c>
      <c r="C60" s="31">
        <f>$E$21</f>
        <v>0.08</v>
      </c>
    </row>
    <row r="61" spans="2:9" ht="13.5" thickBot="1">
      <c r="B61" s="5" t="s">
        <v>12</v>
      </c>
      <c r="C61" s="35">
        <f>1/(1+$C$60)^C52</f>
        <v>1</v>
      </c>
      <c r="D61" s="35">
        <f aca="true" t="shared" si="12" ref="D61:I61">1/(1+$C$60)^D52</f>
        <v>0.9259259259259258</v>
      </c>
      <c r="E61" s="35">
        <f t="shared" si="12"/>
        <v>0.8573388203017832</v>
      </c>
      <c r="F61" s="35">
        <f t="shared" si="12"/>
        <v>0.7938322410201696</v>
      </c>
      <c r="G61" s="35">
        <f t="shared" si="12"/>
        <v>0.7350298527964533</v>
      </c>
      <c r="H61" s="35">
        <f t="shared" si="12"/>
        <v>0.680583197033753</v>
      </c>
      <c r="I61" s="35">
        <f t="shared" si="12"/>
        <v>0.6301696268831045</v>
      </c>
    </row>
    <row r="62" spans="2:9" ht="13.5" thickBot="1">
      <c r="B62" s="5" t="s">
        <v>143</v>
      </c>
      <c r="C62" s="29">
        <f>C59*C61</f>
        <v>-1510000</v>
      </c>
      <c r="D62" s="29">
        <f aca="true" t="shared" si="13" ref="D62:I62">D59*D61</f>
        <v>-1398148.148148148</v>
      </c>
      <c r="E62" s="29">
        <f t="shared" si="13"/>
        <v>-1294581.6186556926</v>
      </c>
      <c r="F62" s="29">
        <f t="shared" si="13"/>
        <v>-1198686.683940456</v>
      </c>
      <c r="G62" s="29">
        <f t="shared" si="13"/>
        <v>-1109895.0777226444</v>
      </c>
      <c r="H62" s="29">
        <f t="shared" si="13"/>
        <v>-513840.3137604835</v>
      </c>
      <c r="I62" s="29">
        <f t="shared" si="13"/>
        <v>9927843.96614978</v>
      </c>
    </row>
    <row r="63" spans="2:3" ht="13.5" thickBot="1">
      <c r="B63" s="5" t="s">
        <v>144</v>
      </c>
      <c r="C63" s="29">
        <f>SUM(C62:I62)</f>
        <v>2902692.1239223555</v>
      </c>
    </row>
    <row r="64" spans="2:3" ht="13.5" thickBot="1">
      <c r="B64" s="5" t="s">
        <v>238</v>
      </c>
      <c r="C64" s="55">
        <f>IRR(C59:I59,C60)</f>
        <v>0.17679042958951552</v>
      </c>
    </row>
    <row r="65" ht="12.75">
      <c r="B65" s="5"/>
    </row>
    <row r="66" ht="12.75">
      <c r="B66" s="48" t="s">
        <v>177</v>
      </c>
    </row>
    <row r="67" spans="2:9" ht="13.5" thickBot="1">
      <c r="B67" s="5"/>
      <c r="C67" s="7">
        <v>0</v>
      </c>
      <c r="D67" s="7">
        <v>1</v>
      </c>
      <c r="E67" s="7">
        <v>2</v>
      </c>
      <c r="F67" s="7">
        <v>3</v>
      </c>
      <c r="G67" s="7">
        <v>4</v>
      </c>
      <c r="H67" s="7">
        <v>5</v>
      </c>
      <c r="I67" s="7">
        <v>6</v>
      </c>
    </row>
    <row r="68" spans="2:9" ht="13.5" thickBot="1">
      <c r="B68" s="5" t="s">
        <v>5</v>
      </c>
      <c r="C68" s="32">
        <f aca="true" t="shared" si="14" ref="C68:H68">$E$15*(1+$I$11)</f>
        <v>1080000</v>
      </c>
      <c r="D68" s="32">
        <f t="shared" si="14"/>
        <v>1080000</v>
      </c>
      <c r="E68" s="32">
        <f t="shared" si="14"/>
        <v>1080000</v>
      </c>
      <c r="F68" s="32">
        <f t="shared" si="14"/>
        <v>1080000</v>
      </c>
      <c r="G68" s="32">
        <f t="shared" si="14"/>
        <v>1080000</v>
      </c>
      <c r="H68" s="32">
        <f t="shared" si="14"/>
        <v>1080000</v>
      </c>
      <c r="I68" s="29"/>
    </row>
    <row r="69" spans="2:9" ht="13.5" thickBot="1">
      <c r="B69" s="5" t="s">
        <v>6</v>
      </c>
      <c r="C69" s="32">
        <f>$E$16</f>
        <v>4000</v>
      </c>
      <c r="D69" s="32">
        <f>$E$16</f>
        <v>4000</v>
      </c>
      <c r="E69" s="32">
        <f>$E$16</f>
        <v>4000</v>
      </c>
      <c r="F69" s="32">
        <f>$E$16</f>
        <v>4000</v>
      </c>
      <c r="G69" s="32">
        <f>$E$16</f>
        <v>4000</v>
      </c>
      <c r="H69" s="32">
        <f>$E$16*0.5</f>
        <v>2000</v>
      </c>
      <c r="I69" s="32"/>
    </row>
    <row r="70" spans="2:9" ht="13.5" thickBot="1">
      <c r="B70" s="5" t="s">
        <v>7</v>
      </c>
      <c r="C70" s="32">
        <f>$E$17</f>
        <v>600000</v>
      </c>
      <c r="D70" s="32">
        <f>$E$17</f>
        <v>600000</v>
      </c>
      <c r="E70" s="32">
        <f>$E$17</f>
        <v>600000</v>
      </c>
      <c r="F70" s="32">
        <f>$E$17</f>
        <v>600000</v>
      </c>
      <c r="G70" s="32">
        <f>$E$17</f>
        <v>600000</v>
      </c>
      <c r="H70" s="32">
        <f>$E$17*0.5</f>
        <v>300000</v>
      </c>
      <c r="I70" s="29"/>
    </row>
    <row r="71" spans="2:9" ht="13.5" thickBot="1">
      <c r="B71" s="5" t="s">
        <v>8</v>
      </c>
      <c r="C71" s="32">
        <f>$E$18</f>
        <v>6000</v>
      </c>
      <c r="D71" s="32">
        <f>$E$18</f>
        <v>6000</v>
      </c>
      <c r="E71" s="32">
        <f>$E$18</f>
        <v>6000</v>
      </c>
      <c r="F71" s="32">
        <f>$E$18</f>
        <v>6000</v>
      </c>
      <c r="G71" s="32">
        <f>$E$18</f>
        <v>6000</v>
      </c>
      <c r="H71" s="32">
        <f>$E$18*0.5</f>
        <v>3000</v>
      </c>
      <c r="I71" s="32"/>
    </row>
    <row r="72" spans="2:9" ht="13.5" thickBot="1">
      <c r="B72" s="5" t="s">
        <v>9</v>
      </c>
      <c r="C72" s="29">
        <f aca="true" t="shared" si="15" ref="C72:H72">SUM(C68:C71)</f>
        <v>1690000</v>
      </c>
      <c r="D72" s="29">
        <f t="shared" si="15"/>
        <v>1690000</v>
      </c>
      <c r="E72" s="29">
        <f t="shared" si="15"/>
        <v>1690000</v>
      </c>
      <c r="F72" s="29">
        <f t="shared" si="15"/>
        <v>1690000</v>
      </c>
      <c r="G72" s="29">
        <f t="shared" si="15"/>
        <v>1690000</v>
      </c>
      <c r="H72" s="32">
        <f t="shared" si="15"/>
        <v>1385000</v>
      </c>
      <c r="I72" s="29"/>
    </row>
    <row r="73" spans="2:9" ht="13.5" thickBot="1">
      <c r="B73" s="5" t="s">
        <v>10</v>
      </c>
      <c r="C73" s="22"/>
      <c r="D73" s="22"/>
      <c r="E73" s="22"/>
      <c r="F73" s="22"/>
      <c r="G73" s="22"/>
      <c r="H73" s="22"/>
      <c r="I73" s="29">
        <f>$E$20/(1+$E$21)^I67</f>
        <v>15754240.672077615</v>
      </c>
    </row>
    <row r="74" spans="2:9" ht="13.5" thickBot="1">
      <c r="B74" s="5" t="s">
        <v>11</v>
      </c>
      <c r="C74" s="67">
        <f aca="true" t="shared" si="16" ref="C74:I74">C73-C72</f>
        <v>-1690000</v>
      </c>
      <c r="D74" s="29">
        <f t="shared" si="16"/>
        <v>-1690000</v>
      </c>
      <c r="E74" s="29">
        <f t="shared" si="16"/>
        <v>-1690000</v>
      </c>
      <c r="F74" s="29">
        <f t="shared" si="16"/>
        <v>-1690000</v>
      </c>
      <c r="G74" s="29">
        <f t="shared" si="16"/>
        <v>-1690000</v>
      </c>
      <c r="H74" s="29">
        <f t="shared" si="16"/>
        <v>-1385000</v>
      </c>
      <c r="I74" s="29">
        <f t="shared" si="16"/>
        <v>15754240.672077615</v>
      </c>
    </row>
    <row r="75" spans="2:3" ht="13.5" thickBot="1">
      <c r="B75" s="5" t="s">
        <v>140</v>
      </c>
      <c r="C75" s="31">
        <f>$E$21</f>
        <v>0.08</v>
      </c>
    </row>
    <row r="76" spans="2:9" ht="13.5" thickBot="1">
      <c r="B76" s="5" t="s">
        <v>12</v>
      </c>
      <c r="C76" s="35">
        <f>1/(1+$C$60)^C67</f>
        <v>1</v>
      </c>
      <c r="D76" s="35">
        <f aca="true" t="shared" si="17" ref="D76:I76">1/(1+$C$60)^D67</f>
        <v>0.9259259259259258</v>
      </c>
      <c r="E76" s="35">
        <f t="shared" si="17"/>
        <v>0.8573388203017832</v>
      </c>
      <c r="F76" s="35">
        <f t="shared" si="17"/>
        <v>0.7938322410201696</v>
      </c>
      <c r="G76" s="35">
        <f t="shared" si="17"/>
        <v>0.7350298527964533</v>
      </c>
      <c r="H76" s="35">
        <f t="shared" si="17"/>
        <v>0.680583197033753</v>
      </c>
      <c r="I76" s="35">
        <f t="shared" si="17"/>
        <v>0.6301696268831045</v>
      </c>
    </row>
    <row r="77" spans="2:9" ht="13.5" thickBot="1">
      <c r="B77" s="5" t="s">
        <v>143</v>
      </c>
      <c r="C77" s="29">
        <f aca="true" t="shared" si="18" ref="C77:I77">C74*C76</f>
        <v>-1690000</v>
      </c>
      <c r="D77" s="29">
        <f t="shared" si="18"/>
        <v>-1564814.8148148146</v>
      </c>
      <c r="E77" s="29">
        <f t="shared" si="18"/>
        <v>-1448902.6063100137</v>
      </c>
      <c r="F77" s="29">
        <f t="shared" si="18"/>
        <v>-1341576.4873240865</v>
      </c>
      <c r="G77" s="29">
        <f t="shared" si="18"/>
        <v>-1242200.451226006</v>
      </c>
      <c r="H77" s="29">
        <f t="shared" si="18"/>
        <v>-942607.727891748</v>
      </c>
      <c r="I77" s="29">
        <f t="shared" si="18"/>
        <v>9927843.96614978</v>
      </c>
    </row>
    <row r="78" spans="2:3" ht="13.5" thickBot="1">
      <c r="B78" s="5" t="s">
        <v>144</v>
      </c>
      <c r="C78" s="29">
        <f>SUM(C77:I77)</f>
        <v>1697741.8785831127</v>
      </c>
    </row>
    <row r="79" spans="2:3" ht="13.5" thickBot="1">
      <c r="B79" s="5" t="s">
        <v>238</v>
      </c>
      <c r="C79" s="55">
        <f>IRR(C74:I74,C75)</f>
        <v>0.13378134040535228</v>
      </c>
    </row>
    <row r="81" ht="13.5" thickBot="1"/>
    <row r="82" spans="5:7" ht="13.5" thickBot="1">
      <c r="E82" s="1"/>
      <c r="F82" s="2" t="s">
        <v>181</v>
      </c>
      <c r="G82" s="3"/>
    </row>
    <row r="84" spans="3:9" ht="13.5" thickBot="1">
      <c r="C84" s="7">
        <v>0</v>
      </c>
      <c r="D84" s="7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</row>
    <row r="85" spans="2:9" ht="13.5" thickBot="1">
      <c r="B85" s="5" t="s">
        <v>178</v>
      </c>
      <c r="C85" s="41">
        <f>C33</f>
        <v>0</v>
      </c>
      <c r="D85" s="41">
        <f aca="true" t="shared" si="19" ref="D85:I85">D33</f>
        <v>169645866750</v>
      </c>
      <c r="E85" s="41">
        <f t="shared" si="19"/>
        <v>169645866750</v>
      </c>
      <c r="F85" s="41">
        <f t="shared" si="19"/>
        <v>0</v>
      </c>
      <c r="G85" s="45">
        <f t="shared" si="19"/>
        <v>5089376002.49999</v>
      </c>
      <c r="H85" s="45">
        <f t="shared" si="19"/>
        <v>5242057282.575002</v>
      </c>
      <c r="I85" s="45">
        <f t="shared" si="19"/>
        <v>5399319001.052281</v>
      </c>
    </row>
    <row r="86" ht="13.5" thickBot="1"/>
    <row r="87" spans="5:7" ht="13.5" thickBot="1">
      <c r="E87" s="1"/>
      <c r="F87" s="2" t="s">
        <v>179</v>
      </c>
      <c r="G87" s="3"/>
    </row>
    <row r="88" spans="5:7" ht="12.75">
      <c r="E88" s="69"/>
      <c r="F88" s="70"/>
      <c r="G88" s="69"/>
    </row>
    <row r="89" spans="3:9" ht="13.5" thickBot="1">
      <c r="C89" s="7">
        <v>0</v>
      </c>
      <c r="D89" s="7">
        <v>1</v>
      </c>
      <c r="E89" s="7">
        <v>2</v>
      </c>
      <c r="F89" s="7">
        <v>3</v>
      </c>
      <c r="G89" s="7">
        <v>4</v>
      </c>
      <c r="H89" s="7">
        <v>5</v>
      </c>
      <c r="I89" s="7">
        <v>6</v>
      </c>
    </row>
    <row r="90" spans="2:9" ht="13.5" thickBot="1">
      <c r="B90" s="5" t="s">
        <v>180</v>
      </c>
      <c r="C90" s="42">
        <f>SUM(C34:C36)</f>
        <v>0</v>
      </c>
      <c r="D90" s="42">
        <f aca="true" t="shared" si="20" ref="D90:I90">SUM(D34:D36)</f>
        <v>0</v>
      </c>
      <c r="E90" s="42">
        <f t="shared" si="20"/>
        <v>0</v>
      </c>
      <c r="F90" s="41">
        <f t="shared" si="20"/>
        <v>114982198575</v>
      </c>
      <c r="G90" s="41">
        <f t="shared" si="20"/>
        <v>118431664532.25</v>
      </c>
      <c r="H90" s="41">
        <f t="shared" si="20"/>
        <v>121984614468.2175</v>
      </c>
      <c r="I90" s="41">
        <f t="shared" si="20"/>
        <v>125644152902.26404</v>
      </c>
    </row>
  </sheetData>
  <sheetProtection/>
  <printOptions/>
  <pageMargins left="0.3" right="0.3" top="0.7" bottom="0.7" header="0.5" footer="0.5"/>
  <pageSetup orientation="landscape" paperSize="9" scale="75"/>
  <headerFooter alignWithMargins="0">
    <oddHeader>&amp;L&amp;10Fiche 5&amp;C&amp;10Corrigé au Projet Ecole Moyenne Pratique</oddHeader>
    <oddFooter>&amp;C&amp;10-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18"/>
  <sheetViews>
    <sheetView workbookViewId="0" topLeftCell="A1">
      <selection activeCell="B21" sqref="B21"/>
    </sheetView>
  </sheetViews>
  <sheetFormatPr defaultColWidth="11.5546875" defaultRowHeight="15.75"/>
  <cols>
    <col min="1" max="1" width="2.6640625" style="6" customWidth="1"/>
    <col min="2" max="2" width="19.10546875" style="6" bestFit="1" customWidth="1"/>
    <col min="3" max="3" width="13.3359375" style="6" bestFit="1" customWidth="1"/>
    <col min="4" max="12" width="12.10546875" style="6" customWidth="1"/>
    <col min="13" max="13" width="4.3359375" style="6" customWidth="1"/>
    <col min="14" max="16384" width="10.6640625" style="6" customWidth="1"/>
  </cols>
  <sheetData>
    <row r="2" ht="12.75" thickBot="1"/>
    <row r="3" spans="4:8" ht="13.5" thickBot="1">
      <c r="D3" s="72"/>
      <c r="E3" s="73"/>
      <c r="F3" s="2" t="s">
        <v>208</v>
      </c>
      <c r="G3" s="73"/>
      <c r="H3" s="74"/>
    </row>
    <row r="4" spans="2:12" ht="12.75">
      <c r="B4" s="43" t="s">
        <v>87</v>
      </c>
      <c r="D4" s="75"/>
      <c r="E4" s="75"/>
      <c r="F4" s="70"/>
      <c r="G4" s="75"/>
      <c r="H4" s="75"/>
      <c r="L4" s="38" t="s">
        <v>88</v>
      </c>
    </row>
    <row r="5" spans="3:12" ht="12.75" thickBot="1"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7">
        <v>2009</v>
      </c>
      <c r="J5" s="7">
        <v>2010</v>
      </c>
      <c r="K5" s="7">
        <v>2011</v>
      </c>
      <c r="L5" s="7">
        <v>2012</v>
      </c>
    </row>
    <row r="6" spans="2:12" ht="12.75" thickBot="1">
      <c r="B6" s="5" t="s">
        <v>210</v>
      </c>
      <c r="C6" s="33">
        <f>Sheet8!D81</f>
        <v>185916666666.6667</v>
      </c>
      <c r="D6" s="34">
        <f>Sheet8!E81</f>
        <v>0</v>
      </c>
      <c r="E6" s="34">
        <f>Sheet8!F81</f>
        <v>0</v>
      </c>
      <c r="F6" s="34">
        <f>Sheet8!G81</f>
        <v>0</v>
      </c>
      <c r="G6" s="34">
        <f>Sheet8!H81</f>
        <v>0</v>
      </c>
      <c r="H6" s="34">
        <f>Sheet8!I81</f>
        <v>0</v>
      </c>
      <c r="I6" s="34">
        <f>Sheet8!J81</f>
        <v>0</v>
      </c>
      <c r="J6" s="34">
        <f>Sheet8!K81</f>
        <v>0</v>
      </c>
      <c r="K6" s="34">
        <f>Sheet8!L81</f>
        <v>0</v>
      </c>
      <c r="L6" s="34">
        <f>Sheet8!M81</f>
        <v>0</v>
      </c>
    </row>
    <row r="7" spans="2:12" ht="12.75" thickBot="1">
      <c r="B7" s="5" t="s">
        <v>205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2:12" ht="12.75" thickBot="1">
      <c r="B8" s="5" t="s">
        <v>206</v>
      </c>
      <c r="C8" s="53">
        <f>Sheet3!E58</f>
        <v>3351550000000</v>
      </c>
      <c r="D8" s="34">
        <f>Sheet3!F58</f>
        <v>0</v>
      </c>
      <c r="E8" s="34">
        <f>Sheet3!G58</f>
        <v>0</v>
      </c>
      <c r="F8" s="34">
        <f>Sheet3!H58</f>
        <v>0</v>
      </c>
      <c r="G8" s="34">
        <f>Sheet3!I58</f>
        <v>0</v>
      </c>
      <c r="H8" s="34"/>
      <c r="I8" s="34"/>
      <c r="J8" s="34"/>
      <c r="K8" s="34"/>
      <c r="L8" s="34"/>
    </row>
    <row r="9" spans="2:12" ht="12.75" thickBot="1">
      <c r="B9" s="5" t="s">
        <v>207</v>
      </c>
      <c r="C9" s="34">
        <f>Sheet4!C85</f>
        <v>0</v>
      </c>
      <c r="D9" s="33">
        <f>Sheet4!D85</f>
        <v>169645866750</v>
      </c>
      <c r="E9" s="33">
        <f>Sheet4!E85</f>
        <v>169645866750</v>
      </c>
      <c r="F9" s="34">
        <f>Sheet4!F85</f>
        <v>0</v>
      </c>
      <c r="G9" s="45">
        <f>Sheet4!G85</f>
        <v>5089376002.49999</v>
      </c>
      <c r="H9" s="45">
        <f>Sheet4!H85</f>
        <v>5242057282.575002</v>
      </c>
      <c r="I9" s="45">
        <f>Sheet4!I85</f>
        <v>5399319001.052281</v>
      </c>
      <c r="J9" s="34"/>
      <c r="K9" s="34"/>
      <c r="L9" s="34"/>
    </row>
    <row r="10" spans="2:12" ht="12.75" thickBot="1">
      <c r="B10" s="5" t="s">
        <v>209</v>
      </c>
      <c r="C10" s="53">
        <f>SUM(C6:C9)</f>
        <v>3537466666666.6665</v>
      </c>
      <c r="D10" s="41">
        <f aca="true" t="shared" si="0" ref="D10:L10">SUM(D6:D9)</f>
        <v>169645866750</v>
      </c>
      <c r="E10" s="41">
        <f t="shared" si="0"/>
        <v>169645866750</v>
      </c>
      <c r="F10" s="41">
        <f t="shared" si="0"/>
        <v>0</v>
      </c>
      <c r="G10" s="45">
        <f t="shared" si="0"/>
        <v>5089376002.49999</v>
      </c>
      <c r="H10" s="45">
        <f t="shared" si="0"/>
        <v>5242057282.575002</v>
      </c>
      <c r="I10" s="45">
        <f t="shared" si="0"/>
        <v>5399319001.052281</v>
      </c>
      <c r="J10" s="29">
        <f t="shared" si="0"/>
        <v>0</v>
      </c>
      <c r="K10" s="29">
        <f t="shared" si="0"/>
        <v>0</v>
      </c>
      <c r="L10" s="29">
        <f t="shared" si="0"/>
        <v>0</v>
      </c>
    </row>
    <row r="11" ht="12.75" thickBot="1"/>
    <row r="12" spans="5:7" ht="13.5" thickBot="1">
      <c r="E12" s="72"/>
      <c r="F12" s="2" t="s">
        <v>211</v>
      </c>
      <c r="G12" s="74"/>
    </row>
    <row r="13" spans="3:12" ht="12.75" thickBot="1">
      <c r="C13" s="7">
        <v>2003</v>
      </c>
      <c r="D13" s="7">
        <v>2004</v>
      </c>
      <c r="E13" s="7">
        <v>2005</v>
      </c>
      <c r="F13" s="7">
        <v>2006</v>
      </c>
      <c r="G13" s="7">
        <v>2007</v>
      </c>
      <c r="H13" s="7">
        <v>2008</v>
      </c>
      <c r="I13" s="7">
        <v>2009</v>
      </c>
      <c r="J13" s="7">
        <v>2010</v>
      </c>
      <c r="K13" s="7">
        <v>2011</v>
      </c>
      <c r="L13" s="7">
        <v>2012</v>
      </c>
    </row>
    <row r="14" spans="2:12" ht="12.75" thickBot="1">
      <c r="B14" s="5" t="s">
        <v>210</v>
      </c>
      <c r="C14" s="76" t="str">
        <f>Sheet8!D84</f>
        <v>p.m.</v>
      </c>
      <c r="D14" s="76" t="str">
        <f>Sheet8!E84</f>
        <v>p.m.</v>
      </c>
      <c r="E14" s="76" t="str">
        <f>Sheet8!F84</f>
        <v>p.m.</v>
      </c>
      <c r="F14" s="76" t="str">
        <f>Sheet8!G84</f>
        <v>p.m.</v>
      </c>
      <c r="G14" s="76" t="str">
        <f>Sheet8!H84</f>
        <v>p.m.</v>
      </c>
      <c r="H14" s="76" t="str">
        <f>Sheet8!I84</f>
        <v>p.m.</v>
      </c>
      <c r="I14" s="76" t="str">
        <f>Sheet8!J84</f>
        <v>p.m.</v>
      </c>
      <c r="J14" s="76" t="str">
        <f>Sheet8!K84</f>
        <v>p.m.</v>
      </c>
      <c r="K14" s="76" t="str">
        <f>Sheet8!L84</f>
        <v>p.m.</v>
      </c>
      <c r="L14" s="76" t="str">
        <f>Sheet8!M84</f>
        <v>p.m.</v>
      </c>
    </row>
    <row r="15" spans="2:12" ht="12.75" thickBot="1">
      <c r="B15" s="5" t="s">
        <v>205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</row>
    <row r="16" spans="2:12" ht="12.75" thickBot="1">
      <c r="B16" s="5" t="s">
        <v>206</v>
      </c>
      <c r="C16" s="34">
        <f>Sheet3!E62</f>
        <v>0</v>
      </c>
      <c r="D16" s="34">
        <f>Sheet3!F62</f>
        <v>400000000</v>
      </c>
      <c r="E16" s="34">
        <f>Sheet3!G62</f>
        <v>400000000</v>
      </c>
      <c r="F16" s="34">
        <f>Sheet3!H62</f>
        <v>400000000</v>
      </c>
      <c r="G16" s="34">
        <f>Sheet3!I62</f>
        <v>400000000</v>
      </c>
      <c r="H16" s="34"/>
      <c r="I16" s="34"/>
      <c r="J16" s="34"/>
      <c r="K16" s="34"/>
      <c r="L16" s="34"/>
    </row>
    <row r="17" spans="2:12" ht="12.75" thickBot="1">
      <c r="B17" s="5" t="s">
        <v>207</v>
      </c>
      <c r="C17" s="34">
        <f>Sheet4!C90</f>
        <v>0</v>
      </c>
      <c r="D17" s="34">
        <f>Sheet4!D90</f>
        <v>0</v>
      </c>
      <c r="E17" s="34">
        <f>Sheet4!E90</f>
        <v>0</v>
      </c>
      <c r="F17" s="41">
        <f>Sheet4!F90</f>
        <v>114982198575</v>
      </c>
      <c r="G17" s="41">
        <f>Sheet4!G90</f>
        <v>118431664532.25</v>
      </c>
      <c r="H17" s="41">
        <f>Sheet4!H90</f>
        <v>121984614468.2175</v>
      </c>
      <c r="I17" s="41">
        <f>Sheet4!I90</f>
        <v>125644152902.26404</v>
      </c>
      <c r="J17" s="34"/>
      <c r="K17" s="34"/>
      <c r="L17" s="34"/>
    </row>
    <row r="18" spans="2:12" ht="12.75" thickBot="1">
      <c r="B18" s="5" t="s">
        <v>209</v>
      </c>
      <c r="C18" s="42">
        <f>SUM(C14:C17)</f>
        <v>0</v>
      </c>
      <c r="D18" s="42">
        <f>SUM(D14:D17)</f>
        <v>400000000</v>
      </c>
      <c r="E18" s="42">
        <f>SUM(E14:E17)</f>
        <v>400000000</v>
      </c>
      <c r="F18" s="41">
        <f>SUM(F14:F17)</f>
        <v>115382198575</v>
      </c>
      <c r="G18" s="41">
        <f aca="true" t="shared" si="1" ref="G18:L18">SUM(G14:G17)</f>
        <v>118831664532.25</v>
      </c>
      <c r="H18" s="41">
        <f t="shared" si="1"/>
        <v>121984614468.2175</v>
      </c>
      <c r="I18" s="41">
        <f t="shared" si="1"/>
        <v>125644152902.26404</v>
      </c>
      <c r="J18" s="41">
        <f t="shared" si="1"/>
        <v>0</v>
      </c>
      <c r="K18" s="41">
        <f t="shared" si="1"/>
        <v>0</v>
      </c>
      <c r="L18" s="41">
        <f t="shared" si="1"/>
        <v>0</v>
      </c>
    </row>
  </sheetData>
  <sheetProtection/>
  <printOptions/>
  <pageMargins left="0.3" right="0.3" top="0.7" bottom="0.7" header="0.5" footer="0.5"/>
  <pageSetup orientation="landscape" paperSize="9" scale="70"/>
  <headerFooter alignWithMargins="0">
    <oddHeader>&amp;L&amp;10Fiche 6&amp;C&amp;10Budgét CDMT</oddHeader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2:M84"/>
  <sheetViews>
    <sheetView workbookViewId="0" topLeftCell="A1">
      <selection activeCell="H43" sqref="H43"/>
    </sheetView>
  </sheetViews>
  <sheetFormatPr defaultColWidth="11.5546875" defaultRowHeight="15.75"/>
  <cols>
    <col min="1" max="1" width="5.6640625" style="0" customWidth="1"/>
    <col min="2" max="2" width="3.99609375" style="0" customWidth="1"/>
    <col min="4" max="4" width="12.5546875" style="0" customWidth="1"/>
    <col min="5" max="5" width="12.10546875" style="0" customWidth="1"/>
    <col min="6" max="6" width="11.3359375" style="0" customWidth="1"/>
    <col min="7" max="13" width="12.10546875" style="0" customWidth="1"/>
    <col min="14" max="14" width="4.10546875" style="0" customWidth="1"/>
  </cols>
  <sheetData>
    <row r="1" ht="13.5" thickBot="1"/>
    <row r="2" spans="5:9" ht="13.5" thickBot="1">
      <c r="E2" s="1"/>
      <c r="F2" s="15"/>
      <c r="G2" s="2" t="s">
        <v>113</v>
      </c>
      <c r="H2" s="15"/>
      <c r="I2" s="3"/>
    </row>
    <row r="3" spans="2:13" ht="12.75">
      <c r="B3" s="43" t="s">
        <v>87</v>
      </c>
      <c r="M3" s="38" t="s">
        <v>88</v>
      </c>
    </row>
    <row r="4" spans="2:13" ht="12.75">
      <c r="B4" s="43"/>
      <c r="M4" s="38"/>
    </row>
    <row r="5" spans="2:7" ht="13.5" thickBot="1">
      <c r="B5" s="4" t="s">
        <v>111</v>
      </c>
      <c r="G5" s="8">
        <f>'CDMT Cas d''étude'!H24</f>
        <v>2003</v>
      </c>
    </row>
    <row r="6" spans="2:7" ht="13.5" thickBot="1">
      <c r="B6" s="4"/>
      <c r="F6" s="5" t="s">
        <v>184</v>
      </c>
      <c r="G6" s="29">
        <f>'CDMT Cas d''étude'!H25</f>
        <v>23000000</v>
      </c>
    </row>
    <row r="7" spans="2:7" ht="13.5" thickBot="1">
      <c r="B7" s="4"/>
      <c r="F7" s="5" t="s">
        <v>175</v>
      </c>
      <c r="G7" s="30">
        <f>'CDMT Cas d''étude'!H26</f>
        <v>6</v>
      </c>
    </row>
    <row r="8" spans="2:7" ht="13.5" thickBot="1">
      <c r="B8" s="4"/>
      <c r="F8" s="5" t="s">
        <v>176</v>
      </c>
      <c r="G8" s="29">
        <f>'CDMT Cas d''étude'!H27</f>
        <v>3833333.3333333335</v>
      </c>
    </row>
    <row r="9" spans="2:7" ht="13.5" thickBot="1">
      <c r="B9" s="4"/>
      <c r="F9" s="5" t="s">
        <v>36</v>
      </c>
      <c r="G9" s="31">
        <f>'CDMT Cas d''étude'!H28</f>
        <v>0.03</v>
      </c>
    </row>
    <row r="10" spans="2:9" ht="13.5" thickBot="1">
      <c r="B10" s="4"/>
      <c r="F10" s="5" t="s">
        <v>74</v>
      </c>
      <c r="G10" s="31">
        <f>'CDMT Cas d''étude'!H29</f>
        <v>0.03</v>
      </c>
      <c r="I10" s="8"/>
    </row>
    <row r="11" spans="6:7" ht="13.5" thickBot="1">
      <c r="F11" s="5" t="s">
        <v>174</v>
      </c>
      <c r="G11" s="29">
        <f>'CDMT Cas d''étude'!H30</f>
        <v>13500000</v>
      </c>
    </row>
    <row r="12" spans="3:7" ht="13.5" thickBot="1">
      <c r="C12" s="5"/>
      <c r="F12" s="5" t="s">
        <v>185</v>
      </c>
      <c r="G12" s="31">
        <f>'CDMT Cas d''étude'!H31</f>
        <v>0.035</v>
      </c>
    </row>
    <row r="13" spans="3:7" ht="13.5" thickBot="1">
      <c r="C13" s="5"/>
      <c r="F13" s="5" t="s">
        <v>172</v>
      </c>
      <c r="G13" s="29">
        <f>'CDMT Cas d''étude'!H32</f>
        <v>450000000</v>
      </c>
    </row>
    <row r="14" spans="3:7" ht="13.5" thickBot="1">
      <c r="C14" s="5"/>
      <c r="F14" s="5" t="s">
        <v>173</v>
      </c>
      <c r="G14" s="31">
        <f>'CDMT Cas d''étude'!H33</f>
        <v>0.0275</v>
      </c>
    </row>
    <row r="15" spans="3:7" ht="13.5" thickBot="1">
      <c r="C15" s="5"/>
      <c r="F15" s="5" t="s">
        <v>16</v>
      </c>
      <c r="G15" s="32">
        <f>'CDMT Cas d''étude'!H34</f>
        <v>485000</v>
      </c>
    </row>
    <row r="16" spans="3:7" ht="13.5" thickBot="1">
      <c r="C16" s="5"/>
      <c r="F16" s="5" t="s">
        <v>80</v>
      </c>
      <c r="G16" s="32">
        <f>'CDMT Cas d''étude'!H35</f>
        <v>2500</v>
      </c>
    </row>
    <row r="17" spans="3:7" ht="13.5" thickBot="1">
      <c r="C17" s="5"/>
      <c r="F17" s="5" t="s">
        <v>81</v>
      </c>
      <c r="G17" s="31">
        <f>'CDMT Cas d''étude'!H36</f>
        <v>0.1</v>
      </c>
    </row>
    <row r="18" spans="3:7" ht="13.5" thickBot="1">
      <c r="C18" s="5"/>
      <c r="F18" s="5" t="s">
        <v>15</v>
      </c>
      <c r="G18" s="32">
        <f>G17*G8</f>
        <v>383333.3333333334</v>
      </c>
    </row>
    <row r="19" spans="3:7" ht="13.5" thickBot="1">
      <c r="C19" s="5"/>
      <c r="F19" s="5" t="s">
        <v>79</v>
      </c>
      <c r="G19" s="33">
        <f>'CDMT Cas d''étude'!H38</f>
        <v>185916666666.6667</v>
      </c>
    </row>
    <row r="20" spans="3:7" ht="13.5" thickBot="1">
      <c r="C20" s="5"/>
      <c r="F20" s="5" t="s">
        <v>75</v>
      </c>
      <c r="G20" s="29">
        <f>G11-G21</f>
        <v>12150000</v>
      </c>
    </row>
    <row r="21" spans="3:10" ht="13.5" thickBot="1">
      <c r="C21" s="5"/>
      <c r="F21" s="5" t="s">
        <v>78</v>
      </c>
      <c r="G21" s="29">
        <f>'CDMT Cas d''étude'!H40</f>
        <v>1350000</v>
      </c>
      <c r="I21" s="36">
        <v>0.1</v>
      </c>
      <c r="J21" s="6" t="s">
        <v>19</v>
      </c>
    </row>
    <row r="22" spans="3:7" ht="13.5" thickBot="1">
      <c r="C22" s="5"/>
      <c r="F22" s="5" t="s">
        <v>76</v>
      </c>
      <c r="G22" s="32">
        <f>'CDMT Cas d''étude'!H41</f>
        <v>9200</v>
      </c>
    </row>
    <row r="23" spans="3:7" ht="13.5" thickBot="1">
      <c r="C23" s="5"/>
      <c r="F23" s="5" t="s">
        <v>77</v>
      </c>
      <c r="G23" s="33">
        <f>G22*G21</f>
        <v>12420000000</v>
      </c>
    </row>
    <row r="24" spans="3:7" ht="13.5" thickBot="1">
      <c r="C24" s="5"/>
      <c r="F24" s="5" t="s">
        <v>140</v>
      </c>
      <c r="G24" s="31">
        <f>'CDMT Cas d''étude'!H43</f>
        <v>0.1</v>
      </c>
    </row>
    <row r="25" spans="3:6" ht="12.75">
      <c r="C25" s="5"/>
      <c r="F25" s="5"/>
    </row>
    <row r="26" ht="12.75">
      <c r="B26" s="4" t="s">
        <v>153</v>
      </c>
    </row>
    <row r="27" spans="3:4" ht="12.75">
      <c r="C27" s="6">
        <v>1</v>
      </c>
      <c r="D27" t="s">
        <v>154</v>
      </c>
    </row>
    <row r="28" spans="3:4" ht="12.75">
      <c r="C28" s="6">
        <v>2</v>
      </c>
      <c r="D28" t="s">
        <v>41</v>
      </c>
    </row>
    <row r="29" spans="3:7" ht="12.75">
      <c r="C29" s="6"/>
      <c r="D29" t="s">
        <v>42</v>
      </c>
      <c r="F29" s="14">
        <v>0.5</v>
      </c>
      <c r="G29" t="s">
        <v>145</v>
      </c>
    </row>
    <row r="30" spans="3:4" ht="12.75">
      <c r="C30">
        <v>3</v>
      </c>
      <c r="D30" t="s">
        <v>44</v>
      </c>
    </row>
    <row r="32" spans="3:13" ht="13.5" thickBot="1">
      <c r="C32" s="38" t="s">
        <v>146</v>
      </c>
      <c r="D32" s="7">
        <v>0</v>
      </c>
      <c r="E32" s="7">
        <v>1</v>
      </c>
      <c r="F32" s="7">
        <v>2</v>
      </c>
      <c r="G32" s="7">
        <v>3</v>
      </c>
      <c r="H32" s="7">
        <v>4</v>
      </c>
      <c r="I32" s="7">
        <v>5</v>
      </c>
      <c r="J32" s="7">
        <v>6</v>
      </c>
      <c r="K32" s="7">
        <v>7</v>
      </c>
      <c r="L32" s="7">
        <v>8</v>
      </c>
      <c r="M32" s="7">
        <v>9</v>
      </c>
    </row>
    <row r="33" spans="3:13" ht="13.5" thickBot="1">
      <c r="C33" s="5" t="s">
        <v>138</v>
      </c>
      <c r="D33" s="33">
        <f>$G$19</f>
        <v>185916666666.6667</v>
      </c>
      <c r="E33" s="34"/>
      <c r="F33" s="34"/>
      <c r="G33" s="34"/>
      <c r="H33" s="34"/>
      <c r="I33" s="34"/>
      <c r="J33" s="34"/>
      <c r="K33" s="34"/>
      <c r="L33" s="34"/>
      <c r="M33" s="34"/>
    </row>
    <row r="34" spans="3:13" ht="13.5" thickBot="1">
      <c r="C34" s="5" t="s">
        <v>84</v>
      </c>
      <c r="D34" s="33"/>
      <c r="E34" s="42">
        <f aca="true" t="shared" si="0" ref="E34:M34">$G$16*$G$18</f>
        <v>958333333.3333334</v>
      </c>
      <c r="F34" s="42">
        <f t="shared" si="0"/>
        <v>958333333.3333334</v>
      </c>
      <c r="G34" s="42">
        <f t="shared" si="0"/>
        <v>958333333.3333334</v>
      </c>
      <c r="H34" s="42">
        <f t="shared" si="0"/>
        <v>958333333.3333334</v>
      </c>
      <c r="I34" s="42">
        <f t="shared" si="0"/>
        <v>958333333.3333334</v>
      </c>
      <c r="J34" s="42">
        <f t="shared" si="0"/>
        <v>958333333.3333334</v>
      </c>
      <c r="K34" s="42">
        <f t="shared" si="0"/>
        <v>958333333.3333334</v>
      </c>
      <c r="L34" s="42">
        <f t="shared" si="0"/>
        <v>958333333.3333334</v>
      </c>
      <c r="M34" s="42">
        <f t="shared" si="0"/>
        <v>958333333.3333334</v>
      </c>
    </row>
    <row r="35" spans="3:13" ht="13.5" thickBot="1">
      <c r="C35" s="5" t="s">
        <v>139</v>
      </c>
      <c r="D35" s="34"/>
      <c r="E35" s="33">
        <f aca="true" t="shared" si="1" ref="E35:M35">E72*$G$22</f>
        <v>13604450377.49989</v>
      </c>
      <c r="F35" s="33">
        <f t="shared" si="1"/>
        <v>28481597087.81533</v>
      </c>
      <c r="G35" s="33">
        <f t="shared" si="1"/>
        <v>44725790089.32574</v>
      </c>
      <c r="H35" s="33">
        <f t="shared" si="1"/>
        <v>62437894085.21697</v>
      </c>
      <c r="I35" s="33">
        <f t="shared" si="1"/>
        <v>81725726602.95096</v>
      </c>
      <c r="J35" s="33">
        <f t="shared" si="1"/>
        <v>102704525222.84952</v>
      </c>
      <c r="K35" s="33">
        <f t="shared" si="1"/>
        <v>125497445886.98137</v>
      </c>
      <c r="L35" s="33">
        <f t="shared" si="1"/>
        <v>150236094347.24036</v>
      </c>
      <c r="M35" s="33">
        <f t="shared" si="1"/>
        <v>177061092947.68405</v>
      </c>
    </row>
    <row r="36" spans="3:13" ht="13.5" thickBot="1">
      <c r="C36" s="5" t="s">
        <v>142</v>
      </c>
      <c r="D36" s="33">
        <f>D35-D33-D34</f>
        <v>-185916666666.6667</v>
      </c>
      <c r="E36" s="33">
        <f>E35-E33-E34</f>
        <v>12646117044.166555</v>
      </c>
      <c r="F36" s="33">
        <f aca="true" t="shared" si="2" ref="F36:M36">F35-F33-F34</f>
        <v>27523263754.482</v>
      </c>
      <c r="G36" s="33">
        <f t="shared" si="2"/>
        <v>43767456755.9924</v>
      </c>
      <c r="H36" s="33">
        <f t="shared" si="2"/>
        <v>61479560751.88364</v>
      </c>
      <c r="I36" s="33">
        <f t="shared" si="2"/>
        <v>80767393269.61763</v>
      </c>
      <c r="J36" s="33">
        <f t="shared" si="2"/>
        <v>101746191889.51619</v>
      </c>
      <c r="K36" s="33">
        <f t="shared" si="2"/>
        <v>124539112553.64804</v>
      </c>
      <c r="L36" s="33">
        <f t="shared" si="2"/>
        <v>149277761013.907</v>
      </c>
      <c r="M36" s="33">
        <f t="shared" si="2"/>
        <v>176102759614.3507</v>
      </c>
    </row>
    <row r="37" spans="3:13" ht="13.5" thickBot="1">
      <c r="C37" s="5" t="s">
        <v>140</v>
      </c>
      <c r="D37" s="37">
        <f>G24</f>
        <v>0.1</v>
      </c>
      <c r="E37" s="6"/>
      <c r="F37" s="6"/>
      <c r="G37" s="6"/>
      <c r="H37" s="6"/>
      <c r="I37" s="6"/>
      <c r="J37" s="6"/>
      <c r="K37" s="6"/>
      <c r="L37" s="6"/>
      <c r="M37" s="6"/>
    </row>
    <row r="38" spans="3:13" ht="13.5" thickBot="1">
      <c r="C38" s="5" t="s">
        <v>141</v>
      </c>
      <c r="D38" s="35">
        <f>1/(1+$D$37)^D32</f>
        <v>1</v>
      </c>
      <c r="E38" s="35">
        <f aca="true" t="shared" si="3" ref="E38:M38">1/(1+$D$37)^E32</f>
        <v>0.9090909090909091</v>
      </c>
      <c r="F38" s="35">
        <f t="shared" si="3"/>
        <v>0.8264462809917354</v>
      </c>
      <c r="G38" s="35">
        <f t="shared" si="3"/>
        <v>0.7513148009015775</v>
      </c>
      <c r="H38" s="35">
        <f t="shared" si="3"/>
        <v>0.6830134553650705</v>
      </c>
      <c r="I38" s="35">
        <f t="shared" si="3"/>
        <v>0.6209213230591549</v>
      </c>
      <c r="J38" s="35">
        <f t="shared" si="3"/>
        <v>0.5644739300537772</v>
      </c>
      <c r="K38" s="35">
        <f t="shared" si="3"/>
        <v>0.5131581182307065</v>
      </c>
      <c r="L38" s="35">
        <f t="shared" si="3"/>
        <v>0.46650738020973315</v>
      </c>
      <c r="M38" s="35">
        <f t="shared" si="3"/>
        <v>0.42409761837248466</v>
      </c>
    </row>
    <row r="39" spans="3:13" ht="13.5" thickBot="1">
      <c r="C39" s="5" t="s">
        <v>143</v>
      </c>
      <c r="D39" s="33">
        <f>D38*D36</f>
        <v>-185916666666.6667</v>
      </c>
      <c r="E39" s="33">
        <f aca="true" t="shared" si="4" ref="E39:M39">E38*E36</f>
        <v>11496470040.151413</v>
      </c>
      <c r="F39" s="33">
        <f t="shared" si="4"/>
        <v>22746498970.64628</v>
      </c>
      <c r="G39" s="33">
        <f t="shared" si="4"/>
        <v>32883138058.596836</v>
      </c>
      <c r="H39" s="33">
        <f t="shared" si="4"/>
        <v>41991367223.47082</v>
      </c>
      <c r="I39" s="33">
        <f t="shared" si="4"/>
        <v>50150196689.01006</v>
      </c>
      <c r="J39" s="33">
        <f t="shared" si="4"/>
        <v>57433072803.88096</v>
      </c>
      <c r="K39" s="33">
        <f t="shared" si="4"/>
        <v>63908256644.152176</v>
      </c>
      <c r="L39" s="33">
        <f t="shared" si="4"/>
        <v>69639177214.1724</v>
      </c>
      <c r="M39" s="33">
        <f t="shared" si="4"/>
        <v>74684760941.26831</v>
      </c>
    </row>
    <row r="40" spans="3:4" ht="13.5" thickBot="1">
      <c r="C40" s="5" t="s">
        <v>144</v>
      </c>
      <c r="D40" s="33">
        <f>SUM(D39:M39)</f>
        <v>239016271918.68256</v>
      </c>
    </row>
    <row r="42" spans="3:13" ht="13.5" thickBot="1">
      <c r="C42" s="38" t="s">
        <v>147</v>
      </c>
      <c r="D42" s="7">
        <v>0</v>
      </c>
      <c r="E42" s="7">
        <v>1</v>
      </c>
      <c r="F42" s="7">
        <v>2</v>
      </c>
      <c r="G42" s="7">
        <v>3</v>
      </c>
      <c r="H42" s="7">
        <v>4</v>
      </c>
      <c r="I42" s="7">
        <v>5</v>
      </c>
      <c r="J42" s="7">
        <v>6</v>
      </c>
      <c r="K42" s="7">
        <v>7</v>
      </c>
      <c r="L42" s="7">
        <v>8</v>
      </c>
      <c r="M42" s="7">
        <v>9</v>
      </c>
    </row>
    <row r="43" spans="3:13" ht="13.5" thickBot="1">
      <c r="C43" s="5" t="s">
        <v>138</v>
      </c>
      <c r="D43" s="33">
        <f>$G$19*(1+$F$29)</f>
        <v>278875000000</v>
      </c>
      <c r="E43" s="34"/>
      <c r="F43" s="34"/>
      <c r="G43" s="34"/>
      <c r="H43" s="34"/>
      <c r="I43" s="34"/>
      <c r="J43" s="34"/>
      <c r="K43" s="34"/>
      <c r="L43" s="34"/>
      <c r="M43" s="34"/>
    </row>
    <row r="44" spans="3:13" ht="13.5" thickBot="1">
      <c r="C44" s="5" t="s">
        <v>84</v>
      </c>
      <c r="D44" s="33"/>
      <c r="E44" s="42">
        <f aca="true" t="shared" si="5" ref="E44:M44">$G$16*$G$18</f>
        <v>958333333.3333334</v>
      </c>
      <c r="F44" s="42">
        <f t="shared" si="5"/>
        <v>958333333.3333334</v>
      </c>
      <c r="G44" s="42">
        <f t="shared" si="5"/>
        <v>958333333.3333334</v>
      </c>
      <c r="H44" s="42">
        <f t="shared" si="5"/>
        <v>958333333.3333334</v>
      </c>
      <c r="I44" s="42">
        <f t="shared" si="5"/>
        <v>958333333.3333334</v>
      </c>
      <c r="J44" s="42">
        <f t="shared" si="5"/>
        <v>958333333.3333334</v>
      </c>
      <c r="K44" s="42">
        <f t="shared" si="5"/>
        <v>958333333.3333334</v>
      </c>
      <c r="L44" s="42">
        <f t="shared" si="5"/>
        <v>958333333.3333334</v>
      </c>
      <c r="M44" s="42">
        <f t="shared" si="5"/>
        <v>958333333.3333334</v>
      </c>
    </row>
    <row r="45" spans="3:13" ht="13.5" thickBot="1">
      <c r="C45" s="5" t="s">
        <v>139</v>
      </c>
      <c r="D45" s="34"/>
      <c r="E45" s="33">
        <f aca="true" t="shared" si="6" ref="E45:M45">E72*$G$22</f>
        <v>13604450377.49989</v>
      </c>
      <c r="F45" s="33">
        <f t="shared" si="6"/>
        <v>28481597087.81533</v>
      </c>
      <c r="G45" s="33">
        <f t="shared" si="6"/>
        <v>44725790089.32574</v>
      </c>
      <c r="H45" s="33">
        <f t="shared" si="6"/>
        <v>62437894085.21697</v>
      </c>
      <c r="I45" s="33">
        <f t="shared" si="6"/>
        <v>81725726602.95096</v>
      </c>
      <c r="J45" s="33">
        <f t="shared" si="6"/>
        <v>102704525222.84952</v>
      </c>
      <c r="K45" s="33">
        <f t="shared" si="6"/>
        <v>125497445886.98137</v>
      </c>
      <c r="L45" s="33">
        <f t="shared" si="6"/>
        <v>150236094347.24036</v>
      </c>
      <c r="M45" s="33">
        <f t="shared" si="6"/>
        <v>177061092947.68405</v>
      </c>
    </row>
    <row r="46" spans="3:13" ht="13.5" thickBot="1">
      <c r="C46" s="5" t="s">
        <v>142</v>
      </c>
      <c r="D46" s="33">
        <f>D45-D43</f>
        <v>-278875000000</v>
      </c>
      <c r="E46" s="33">
        <f>E45-E43-E44</f>
        <v>12646117044.166555</v>
      </c>
      <c r="F46" s="33">
        <f aca="true" t="shared" si="7" ref="F46:M46">F45-F43-F44</f>
        <v>27523263754.482</v>
      </c>
      <c r="G46" s="33">
        <f t="shared" si="7"/>
        <v>43767456755.9924</v>
      </c>
      <c r="H46" s="33">
        <f t="shared" si="7"/>
        <v>61479560751.88364</v>
      </c>
      <c r="I46" s="33">
        <f t="shared" si="7"/>
        <v>80767393269.61763</v>
      </c>
      <c r="J46" s="33">
        <f t="shared" si="7"/>
        <v>101746191889.51619</v>
      </c>
      <c r="K46" s="33">
        <f t="shared" si="7"/>
        <v>124539112553.64804</v>
      </c>
      <c r="L46" s="33">
        <f t="shared" si="7"/>
        <v>149277761013.907</v>
      </c>
      <c r="M46" s="33">
        <f t="shared" si="7"/>
        <v>176102759614.3507</v>
      </c>
    </row>
    <row r="47" spans="3:13" ht="13.5" thickBot="1">
      <c r="C47" s="5" t="s">
        <v>140</v>
      </c>
      <c r="D47" s="37">
        <f>$G$24</f>
        <v>0.1</v>
      </c>
      <c r="E47" s="6"/>
      <c r="F47" s="6"/>
      <c r="G47" s="6"/>
      <c r="H47" s="6"/>
      <c r="I47" s="6"/>
      <c r="J47" s="6"/>
      <c r="K47" s="6"/>
      <c r="L47" s="6"/>
      <c r="M47" s="6"/>
    </row>
    <row r="48" spans="3:13" ht="13.5" thickBot="1">
      <c r="C48" s="5" t="s">
        <v>141</v>
      </c>
      <c r="D48" s="35">
        <f>1/(1+$D$37)^D42</f>
        <v>1</v>
      </c>
      <c r="E48" s="35">
        <f aca="true" t="shared" si="8" ref="E48:M48">1/(1+$D$37)^E42</f>
        <v>0.9090909090909091</v>
      </c>
      <c r="F48" s="35">
        <f t="shared" si="8"/>
        <v>0.8264462809917354</v>
      </c>
      <c r="G48" s="35">
        <f t="shared" si="8"/>
        <v>0.7513148009015775</v>
      </c>
      <c r="H48" s="35">
        <f t="shared" si="8"/>
        <v>0.6830134553650705</v>
      </c>
      <c r="I48" s="35">
        <f t="shared" si="8"/>
        <v>0.6209213230591549</v>
      </c>
      <c r="J48" s="35">
        <f t="shared" si="8"/>
        <v>0.5644739300537772</v>
      </c>
      <c r="K48" s="35">
        <f t="shared" si="8"/>
        <v>0.5131581182307065</v>
      </c>
      <c r="L48" s="35">
        <f t="shared" si="8"/>
        <v>0.46650738020973315</v>
      </c>
      <c r="M48" s="35">
        <f t="shared" si="8"/>
        <v>0.42409761837248466</v>
      </c>
    </row>
    <row r="49" spans="3:13" ht="13.5" thickBot="1">
      <c r="C49" s="5" t="s">
        <v>143</v>
      </c>
      <c r="D49" s="33">
        <f aca="true" t="shared" si="9" ref="D49:M49">D48*D46</f>
        <v>-278875000000</v>
      </c>
      <c r="E49" s="33">
        <f t="shared" si="9"/>
        <v>11496470040.151413</v>
      </c>
      <c r="F49" s="33">
        <f t="shared" si="9"/>
        <v>22746498970.64628</v>
      </c>
      <c r="G49" s="33">
        <f t="shared" si="9"/>
        <v>32883138058.596836</v>
      </c>
      <c r="H49" s="33">
        <f t="shared" si="9"/>
        <v>41991367223.47082</v>
      </c>
      <c r="I49" s="33">
        <f t="shared" si="9"/>
        <v>50150196689.01006</v>
      </c>
      <c r="J49" s="33">
        <f t="shared" si="9"/>
        <v>57433072803.88096</v>
      </c>
      <c r="K49" s="33">
        <f t="shared" si="9"/>
        <v>63908256644.152176</v>
      </c>
      <c r="L49" s="33">
        <f t="shared" si="9"/>
        <v>69639177214.1724</v>
      </c>
      <c r="M49" s="33">
        <f t="shared" si="9"/>
        <v>74684760941.26831</v>
      </c>
    </row>
    <row r="50" spans="3:4" ht="13.5" thickBot="1">
      <c r="C50" s="5" t="s">
        <v>144</v>
      </c>
      <c r="D50" s="41">
        <f>SUM(D49:M49)</f>
        <v>146057938585.34927</v>
      </c>
    </row>
    <row r="53" ht="12.75">
      <c r="C53" s="38" t="s">
        <v>13</v>
      </c>
    </row>
    <row r="54" spans="3:13" ht="13.5" thickBot="1">
      <c r="C54" s="38"/>
      <c r="D54" s="7">
        <v>0</v>
      </c>
      <c r="E54" s="7">
        <v>1</v>
      </c>
      <c r="F54" s="7">
        <v>2</v>
      </c>
      <c r="G54" s="7">
        <v>3</v>
      </c>
      <c r="H54" s="7">
        <v>4</v>
      </c>
      <c r="I54" s="7">
        <v>5</v>
      </c>
      <c r="J54" s="7">
        <v>6</v>
      </c>
      <c r="K54" s="7">
        <v>7</v>
      </c>
      <c r="L54" s="7">
        <v>8</v>
      </c>
      <c r="M54" s="7">
        <v>9</v>
      </c>
    </row>
    <row r="55" spans="3:13" ht="13.5" thickBot="1">
      <c r="C55" s="5" t="s">
        <v>26</v>
      </c>
      <c r="D55" s="29">
        <f>G6</f>
        <v>23000000</v>
      </c>
      <c r="E55" s="29">
        <f aca="true" t="shared" si="10" ref="E55:M55">D55*(1+$G$9)</f>
        <v>23690000</v>
      </c>
      <c r="F55" s="29">
        <f t="shared" si="10"/>
        <v>24400700</v>
      </c>
      <c r="G55" s="29">
        <f t="shared" si="10"/>
        <v>25132721</v>
      </c>
      <c r="H55" s="29">
        <f t="shared" si="10"/>
        <v>25886702.63</v>
      </c>
      <c r="I55" s="29">
        <f t="shared" si="10"/>
        <v>26663303.7089</v>
      </c>
      <c r="J55" s="29">
        <f t="shared" si="10"/>
        <v>27463202.820167</v>
      </c>
      <c r="K55" s="29">
        <f t="shared" si="10"/>
        <v>28287098.904772013</v>
      </c>
      <c r="L55" s="29">
        <f t="shared" si="10"/>
        <v>29135711.871915173</v>
      </c>
      <c r="M55" s="29">
        <f t="shared" si="10"/>
        <v>30009783.22807263</v>
      </c>
    </row>
    <row r="56" spans="3:13" ht="13.5" thickBot="1">
      <c r="C56" s="5" t="s">
        <v>27</v>
      </c>
      <c r="D56" s="40">
        <f>G11*1000/D55</f>
        <v>586.9565217391304</v>
      </c>
      <c r="E56" s="40">
        <f aca="true" t="shared" si="11" ref="E56:M56">D56*(1+$G$12)</f>
        <v>607.4999999999999</v>
      </c>
      <c r="F56" s="40">
        <f t="shared" si="11"/>
        <v>628.7624999999998</v>
      </c>
      <c r="G56" s="40">
        <f t="shared" si="11"/>
        <v>650.7691874999998</v>
      </c>
      <c r="H56" s="40">
        <f t="shared" si="11"/>
        <v>673.5461090624998</v>
      </c>
      <c r="I56" s="40">
        <f t="shared" si="11"/>
        <v>697.1202228796873</v>
      </c>
      <c r="J56" s="40">
        <f t="shared" si="11"/>
        <v>721.5194306804763</v>
      </c>
      <c r="K56" s="40">
        <f t="shared" si="11"/>
        <v>746.7726107542928</v>
      </c>
      <c r="L56" s="40">
        <f t="shared" si="11"/>
        <v>772.909652130693</v>
      </c>
      <c r="M56" s="40">
        <f t="shared" si="11"/>
        <v>799.9614899552671</v>
      </c>
    </row>
    <row r="57" spans="3:13" ht="13.5" thickBot="1">
      <c r="C57" s="5" t="s">
        <v>28</v>
      </c>
      <c r="D57" s="29">
        <f>D55*D56/1000</f>
        <v>13499999.999999998</v>
      </c>
      <c r="E57" s="29">
        <f aca="true" t="shared" si="12" ref="E57:M57">E55*E56/1000</f>
        <v>14391674.999999998</v>
      </c>
      <c r="F57" s="29">
        <f t="shared" si="12"/>
        <v>15342245.133749995</v>
      </c>
      <c r="G57" s="29">
        <f t="shared" si="12"/>
        <v>16355600.424834182</v>
      </c>
      <c r="H57" s="29">
        <f t="shared" si="12"/>
        <v>17435887.832894478</v>
      </c>
      <c r="I57" s="29">
        <f t="shared" si="12"/>
        <v>18587528.22425716</v>
      </c>
      <c r="J57" s="29">
        <f t="shared" si="12"/>
        <v>19815234.463469345</v>
      </c>
      <c r="K57" s="29">
        <f t="shared" si="12"/>
        <v>21124030.699781492</v>
      </c>
      <c r="L57" s="29">
        <f t="shared" si="12"/>
        <v>22519272.927502055</v>
      </c>
      <c r="M57" s="29">
        <f t="shared" si="12"/>
        <v>24006670.904363565</v>
      </c>
    </row>
    <row r="58" spans="3:13" ht="13.5" thickBot="1">
      <c r="C58" s="38" t="s">
        <v>25</v>
      </c>
      <c r="D58" s="7">
        <v>0</v>
      </c>
      <c r="E58" s="7">
        <v>1</v>
      </c>
      <c r="F58" s="7">
        <v>2</v>
      </c>
      <c r="G58" s="7">
        <v>3</v>
      </c>
      <c r="H58" s="7">
        <v>4</v>
      </c>
      <c r="I58" s="7">
        <v>5</v>
      </c>
      <c r="J58" s="7">
        <v>6</v>
      </c>
      <c r="K58" s="7">
        <v>7</v>
      </c>
      <c r="L58" s="7">
        <v>8</v>
      </c>
      <c r="M58" s="7">
        <v>9</v>
      </c>
    </row>
    <row r="59" spans="3:13" ht="13.5" thickBot="1">
      <c r="C59" s="5" t="s">
        <v>14</v>
      </c>
      <c r="D59" s="29">
        <f>G13</f>
        <v>450000000</v>
      </c>
      <c r="E59" s="29">
        <f>D63</f>
        <v>448503750</v>
      </c>
      <c r="F59" s="29">
        <f>E63</f>
        <v>446050157.0625</v>
      </c>
      <c r="G59" s="29">
        <f aca="true" t="shared" si="13" ref="G59:M59">F63</f>
        <v>442552379.5067906</v>
      </c>
      <c r="H59" s="29">
        <f t="shared" si="13"/>
        <v>437917190.5067102</v>
      </c>
      <c r="I59" s="29">
        <f t="shared" si="13"/>
        <v>432044538.4973456</v>
      </c>
      <c r="J59" s="29">
        <f t="shared" si="13"/>
        <v>424827078.0555984</v>
      </c>
      <c r="K59" s="29">
        <f t="shared" si="13"/>
        <v>416149669.2909126</v>
      </c>
      <c r="L59" s="29">
        <f t="shared" si="13"/>
        <v>405888843.65238726</v>
      </c>
      <c r="M59" s="29">
        <f t="shared" si="13"/>
        <v>393912233.9198196</v>
      </c>
    </row>
    <row r="60" spans="3:13" ht="13.5" thickBot="1">
      <c r="C60" s="5" t="s">
        <v>20</v>
      </c>
      <c r="D60" s="29">
        <f>$G$10*D59</f>
        <v>13500000</v>
      </c>
      <c r="E60" s="29">
        <f>E57</f>
        <v>14391674.999999998</v>
      </c>
      <c r="F60" s="29">
        <f aca="true" t="shared" si="14" ref="F60:M60">F57</f>
        <v>15342245.133749995</v>
      </c>
      <c r="G60" s="29">
        <f t="shared" si="14"/>
        <v>16355600.424834182</v>
      </c>
      <c r="H60" s="29">
        <f t="shared" si="14"/>
        <v>17435887.832894478</v>
      </c>
      <c r="I60" s="29">
        <f t="shared" si="14"/>
        <v>18587528.22425716</v>
      </c>
      <c r="J60" s="29">
        <f t="shared" si="14"/>
        <v>19815234.463469345</v>
      </c>
      <c r="K60" s="29">
        <f t="shared" si="14"/>
        <v>21124030.699781492</v>
      </c>
      <c r="L60" s="29">
        <f t="shared" si="14"/>
        <v>22519272.927502055</v>
      </c>
      <c r="M60" s="29">
        <f t="shared" si="14"/>
        <v>24006670.904363565</v>
      </c>
    </row>
    <row r="61" spans="3:13" ht="13.5" thickBot="1">
      <c r="C61" s="5" t="s">
        <v>29</v>
      </c>
      <c r="D61" s="29">
        <f>D59-D60</f>
        <v>436500000</v>
      </c>
      <c r="E61" s="29">
        <f>E59-E60</f>
        <v>434112075</v>
      </c>
      <c r="F61" s="29">
        <f aca="true" t="shared" si="15" ref="F61:M61">F59-F60</f>
        <v>430707911.92875</v>
      </c>
      <c r="G61" s="29">
        <f t="shared" si="15"/>
        <v>426196779.0819564</v>
      </c>
      <c r="H61" s="29">
        <f t="shared" si="15"/>
        <v>420481302.67381567</v>
      </c>
      <c r="I61" s="29">
        <f t="shared" si="15"/>
        <v>413457010.27308846</v>
      </c>
      <c r="J61" s="29">
        <f t="shared" si="15"/>
        <v>405011843.59212905</v>
      </c>
      <c r="K61" s="29">
        <f t="shared" si="15"/>
        <v>395025638.59113115</v>
      </c>
      <c r="L61" s="29">
        <f t="shared" si="15"/>
        <v>383369570.7248852</v>
      </c>
      <c r="M61" s="29">
        <f t="shared" si="15"/>
        <v>369905563.015456</v>
      </c>
    </row>
    <row r="62" spans="3:13" ht="13.5" thickBot="1">
      <c r="C62" s="5" t="s">
        <v>22</v>
      </c>
      <c r="D62" s="29">
        <f aca="true" t="shared" si="16" ref="D62:M62">D61*($G$14)</f>
        <v>12003750</v>
      </c>
      <c r="E62" s="29">
        <f t="shared" si="16"/>
        <v>11938082.0625</v>
      </c>
      <c r="F62" s="29">
        <f t="shared" si="16"/>
        <v>11844467.578040624</v>
      </c>
      <c r="G62" s="29">
        <f t="shared" si="16"/>
        <v>11720411.4247538</v>
      </c>
      <c r="H62" s="29">
        <f t="shared" si="16"/>
        <v>11563235.82352993</v>
      </c>
      <c r="I62" s="29">
        <f t="shared" si="16"/>
        <v>11370067.782509932</v>
      </c>
      <c r="J62" s="29">
        <f t="shared" si="16"/>
        <v>11137825.698783549</v>
      </c>
      <c r="K62" s="29">
        <f t="shared" si="16"/>
        <v>10863205.061256107</v>
      </c>
      <c r="L62" s="29">
        <f t="shared" si="16"/>
        <v>10542663.194934344</v>
      </c>
      <c r="M62" s="29">
        <f t="shared" si="16"/>
        <v>10172402.98292504</v>
      </c>
    </row>
    <row r="63" spans="3:13" ht="13.5" thickBot="1">
      <c r="C63" s="5" t="s">
        <v>23</v>
      </c>
      <c r="D63" s="29">
        <f>D61+D62</f>
        <v>448503750</v>
      </c>
      <c r="E63" s="29">
        <f>E61+E62</f>
        <v>446050157.0625</v>
      </c>
      <c r="F63" s="29">
        <f aca="true" t="shared" si="17" ref="F63:M63">F61+F62</f>
        <v>442552379.5067906</v>
      </c>
      <c r="G63" s="29">
        <f t="shared" si="17"/>
        <v>437917190.5067102</v>
      </c>
      <c r="H63" s="29">
        <f t="shared" si="17"/>
        <v>432044538.4973456</v>
      </c>
      <c r="I63" s="29">
        <f t="shared" si="17"/>
        <v>424827078.0555984</v>
      </c>
      <c r="J63" s="29">
        <f t="shared" si="17"/>
        <v>416149669.2909126</v>
      </c>
      <c r="K63" s="29">
        <f t="shared" si="17"/>
        <v>405888843.65238726</v>
      </c>
      <c r="L63" s="29">
        <f t="shared" si="17"/>
        <v>393912233.9198196</v>
      </c>
      <c r="M63" s="29">
        <f t="shared" si="17"/>
        <v>380077965.9983811</v>
      </c>
    </row>
    <row r="64" spans="3:13" ht="13.5" thickBot="1">
      <c r="C64" s="38" t="s">
        <v>24</v>
      </c>
      <c r="D64" s="7">
        <v>0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>
        <v>7</v>
      </c>
      <c r="L64" s="7">
        <v>8</v>
      </c>
      <c r="M64" s="7">
        <v>9</v>
      </c>
    </row>
    <row r="65" spans="3:13" ht="13.5" thickBot="1">
      <c r="C65" s="5" t="s">
        <v>14</v>
      </c>
      <c r="D65" s="29">
        <f>D59</f>
        <v>450000000</v>
      </c>
      <c r="E65" s="29">
        <f>D70</f>
        <v>448503750</v>
      </c>
      <c r="F65" s="29">
        <f aca="true" t="shared" si="18" ref="F65:M65">E70</f>
        <v>447528901.66875</v>
      </c>
      <c r="G65" s="29">
        <f t="shared" si="18"/>
        <v>445648205.2772053</v>
      </c>
      <c r="H65" s="29">
        <f t="shared" si="18"/>
        <v>442778689.42946297</v>
      </c>
      <c r="I65" s="29">
        <f t="shared" si="18"/>
        <v>438831266.115304</v>
      </c>
      <c r="J65" s="29">
        <f t="shared" si="18"/>
        <v>433710309.20809305</v>
      </c>
      <c r="K65" s="29">
        <f t="shared" si="18"/>
        <v>427313204.64122236</v>
      </c>
      <c r="L65" s="29">
        <f t="shared" si="18"/>
        <v>419529870.37923306</v>
      </c>
      <c r="M65" s="29">
        <f t="shared" si="18"/>
        <v>410242244.1749544</v>
      </c>
    </row>
    <row r="66" spans="3:13" ht="13.5" thickBot="1">
      <c r="C66" s="5" t="s">
        <v>20</v>
      </c>
      <c r="D66" s="29">
        <f>G11</f>
        <v>13500000</v>
      </c>
      <c r="E66" s="29">
        <f aca="true" t="shared" si="19" ref="E66:M66">E57</f>
        <v>14391674.999999998</v>
      </c>
      <c r="F66" s="29">
        <f t="shared" si="19"/>
        <v>15342245.133749995</v>
      </c>
      <c r="G66" s="29">
        <f t="shared" si="19"/>
        <v>16355600.424834182</v>
      </c>
      <c r="H66" s="29">
        <f t="shared" si="19"/>
        <v>17435887.832894478</v>
      </c>
      <c r="I66" s="29">
        <f t="shared" si="19"/>
        <v>18587528.22425716</v>
      </c>
      <c r="J66" s="29">
        <f t="shared" si="19"/>
        <v>19815234.463469345</v>
      </c>
      <c r="K66" s="29">
        <f t="shared" si="19"/>
        <v>21124030.699781492</v>
      </c>
      <c r="L66" s="29">
        <f t="shared" si="19"/>
        <v>22519272.927502055</v>
      </c>
      <c r="M66" s="29">
        <f t="shared" si="19"/>
        <v>24006670.904363565</v>
      </c>
    </row>
    <row r="67" spans="3:13" ht="13.5" thickBot="1">
      <c r="C67" s="5" t="s">
        <v>18</v>
      </c>
      <c r="D67" s="29"/>
      <c r="E67" s="29">
        <f aca="true" t="shared" si="20" ref="E67:M67">$I$21*E66</f>
        <v>1439167.5</v>
      </c>
      <c r="F67" s="29">
        <f t="shared" si="20"/>
        <v>1534224.5133749996</v>
      </c>
      <c r="G67" s="29">
        <f t="shared" si="20"/>
        <v>1635560.0424834182</v>
      </c>
      <c r="H67" s="29">
        <f t="shared" si="20"/>
        <v>1743588.783289448</v>
      </c>
      <c r="I67" s="29">
        <f t="shared" si="20"/>
        <v>1858752.822425716</v>
      </c>
      <c r="J67" s="29">
        <f t="shared" si="20"/>
        <v>1981523.4463469347</v>
      </c>
      <c r="K67" s="29">
        <f t="shared" si="20"/>
        <v>2112403.069978149</v>
      </c>
      <c r="L67" s="29">
        <f t="shared" si="20"/>
        <v>2251927.2927502054</v>
      </c>
      <c r="M67" s="29">
        <f t="shared" si="20"/>
        <v>2400667.0904363566</v>
      </c>
    </row>
    <row r="68" spans="3:13" ht="13.5" thickBot="1">
      <c r="C68" s="5" t="s">
        <v>21</v>
      </c>
      <c r="D68" s="29">
        <f>D65-D66+D67</f>
        <v>436500000</v>
      </c>
      <c r="E68" s="29">
        <f aca="true" t="shared" si="21" ref="E68:M68">E65-E66+E67</f>
        <v>435551242.5</v>
      </c>
      <c r="F68" s="29">
        <f t="shared" si="21"/>
        <v>433720881.04837495</v>
      </c>
      <c r="G68" s="29">
        <f t="shared" si="21"/>
        <v>430928164.8948545</v>
      </c>
      <c r="H68" s="29">
        <f t="shared" si="21"/>
        <v>427086390.3798579</v>
      </c>
      <c r="I68" s="29">
        <f t="shared" si="21"/>
        <v>422102490.71347255</v>
      </c>
      <c r="J68" s="29">
        <f t="shared" si="21"/>
        <v>415876598.19097066</v>
      </c>
      <c r="K68" s="29">
        <f t="shared" si="21"/>
        <v>408301577.01141906</v>
      </c>
      <c r="L68" s="29">
        <f t="shared" si="21"/>
        <v>399262524.7444812</v>
      </c>
      <c r="M68" s="29">
        <f t="shared" si="21"/>
        <v>388636240.3610272</v>
      </c>
    </row>
    <row r="69" spans="3:13" ht="13.5" thickBot="1">
      <c r="C69" s="5" t="s">
        <v>22</v>
      </c>
      <c r="D69" s="29">
        <f aca="true" t="shared" si="22" ref="D69:M69">D68*($G$14)</f>
        <v>12003750</v>
      </c>
      <c r="E69" s="29">
        <f t="shared" si="22"/>
        <v>11977659.16875</v>
      </c>
      <c r="F69" s="29">
        <f t="shared" si="22"/>
        <v>11927324.228830311</v>
      </c>
      <c r="G69" s="29">
        <f t="shared" si="22"/>
        <v>11850524.534608498</v>
      </c>
      <c r="H69" s="29">
        <f t="shared" si="22"/>
        <v>11744875.735446092</v>
      </c>
      <c r="I69" s="29">
        <f t="shared" si="22"/>
        <v>11607818.494620495</v>
      </c>
      <c r="J69" s="29">
        <f t="shared" si="22"/>
        <v>11436606.450251693</v>
      </c>
      <c r="K69" s="29">
        <f t="shared" si="22"/>
        <v>11228293.367814025</v>
      </c>
      <c r="L69" s="29">
        <f t="shared" si="22"/>
        <v>10979719.430473233</v>
      </c>
      <c r="M69" s="29">
        <f t="shared" si="22"/>
        <v>10687496.609928248</v>
      </c>
    </row>
    <row r="70" spans="3:13" ht="13.5" thickBot="1">
      <c r="C70" s="5" t="s">
        <v>23</v>
      </c>
      <c r="D70" s="29">
        <f>D68+D69</f>
        <v>448503750</v>
      </c>
      <c r="E70" s="29">
        <f aca="true" t="shared" si="23" ref="E70:M70">E68+E69</f>
        <v>447528901.66875</v>
      </c>
      <c r="F70" s="29">
        <f t="shared" si="23"/>
        <v>445648205.2772053</v>
      </c>
      <c r="G70" s="29">
        <f t="shared" si="23"/>
        <v>442778689.42946297</v>
      </c>
      <c r="H70" s="29">
        <f t="shared" si="23"/>
        <v>438831266.115304</v>
      </c>
      <c r="I70" s="29">
        <f t="shared" si="23"/>
        <v>433710309.20809305</v>
      </c>
      <c r="J70" s="29">
        <f t="shared" si="23"/>
        <v>427313204.64122236</v>
      </c>
      <c r="K70" s="29">
        <f t="shared" si="23"/>
        <v>419529870.37923306</v>
      </c>
      <c r="L70" s="29">
        <f t="shared" si="23"/>
        <v>410242244.1749544</v>
      </c>
      <c r="M70" s="29">
        <f t="shared" si="23"/>
        <v>399323736.97095543</v>
      </c>
    </row>
    <row r="71" spans="3:13" ht="13.5" thickBot="1">
      <c r="C71" s="5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ht="13.5" thickBot="1">
      <c r="C72" s="5" t="s">
        <v>30</v>
      </c>
      <c r="D72" s="29"/>
      <c r="E72" s="29">
        <f aca="true" t="shared" si="24" ref="E72:M72">E70-E63</f>
        <v>1478744.606249988</v>
      </c>
      <c r="F72" s="29">
        <f t="shared" si="24"/>
        <v>3095825.77041471</v>
      </c>
      <c r="G72" s="29">
        <f t="shared" si="24"/>
        <v>4861498.922752798</v>
      </c>
      <c r="H72" s="29">
        <f t="shared" si="24"/>
        <v>6786727.617958367</v>
      </c>
      <c r="I72" s="29">
        <f t="shared" si="24"/>
        <v>8883231.152494669</v>
      </c>
      <c r="J72" s="29">
        <f t="shared" si="24"/>
        <v>11163535.35030973</v>
      </c>
      <c r="K72" s="29">
        <f t="shared" si="24"/>
        <v>13641026.7268458</v>
      </c>
      <c r="L72" s="29">
        <f t="shared" si="24"/>
        <v>16330010.255134821</v>
      </c>
      <c r="M72" s="29">
        <f t="shared" si="24"/>
        <v>19245770.972574353</v>
      </c>
    </row>
    <row r="73" spans="3:13" ht="13.5" thickBot="1">
      <c r="C73" s="5" t="s">
        <v>31</v>
      </c>
      <c r="D73" s="33"/>
      <c r="E73" s="33">
        <f aca="true" t="shared" si="25" ref="E73:M73">$G$22*E72</f>
        <v>13604450377.49989</v>
      </c>
      <c r="F73" s="33">
        <f t="shared" si="25"/>
        <v>28481597087.81533</v>
      </c>
      <c r="G73" s="33">
        <f t="shared" si="25"/>
        <v>44725790089.32574</v>
      </c>
      <c r="H73" s="33">
        <f t="shared" si="25"/>
        <v>62437894085.21697</v>
      </c>
      <c r="I73" s="33">
        <f t="shared" si="25"/>
        <v>81725726602.95096</v>
      </c>
      <c r="J73" s="33">
        <f t="shared" si="25"/>
        <v>102704525222.84952</v>
      </c>
      <c r="K73" s="33">
        <f t="shared" si="25"/>
        <v>125497445886.98137</v>
      </c>
      <c r="L73" s="33">
        <f t="shared" si="25"/>
        <v>150236094347.24036</v>
      </c>
      <c r="M73" s="33">
        <f t="shared" si="25"/>
        <v>177061092947.68405</v>
      </c>
    </row>
    <row r="74" spans="3:13" ht="13.5" thickBot="1">
      <c r="C74" s="5" t="s">
        <v>83</v>
      </c>
      <c r="D74" s="33"/>
      <c r="E74" s="33">
        <f aca="true" t="shared" si="26" ref="E74:M74">E38*E73</f>
        <v>12367682161.363535</v>
      </c>
      <c r="F74" s="33">
        <f t="shared" si="26"/>
        <v>23538509989.930023</v>
      </c>
      <c r="G74" s="33">
        <f t="shared" si="26"/>
        <v>33603148076.127518</v>
      </c>
      <c r="H74" s="33">
        <f t="shared" si="26"/>
        <v>42645921784.86234</v>
      </c>
      <c r="I74" s="33">
        <f t="shared" si="26"/>
        <v>50745246290.275085</v>
      </c>
      <c r="J74" s="33">
        <f t="shared" si="26"/>
        <v>57974026986.84916</v>
      </c>
      <c r="K74" s="33">
        <f t="shared" si="26"/>
        <v>64400033174.12327</v>
      </c>
      <c r="L74" s="33">
        <f t="shared" si="26"/>
        <v>70086246786.8734</v>
      </c>
      <c r="M74" s="33">
        <f t="shared" si="26"/>
        <v>75091187825.54195</v>
      </c>
    </row>
    <row r="75" spans="3:4" ht="13.5" thickBot="1">
      <c r="C75" s="5" t="s">
        <v>144</v>
      </c>
      <c r="D75" s="33">
        <f>SUM(D74:M74)</f>
        <v>430452003075.9463</v>
      </c>
    </row>
    <row r="76" spans="3:5" ht="12.75">
      <c r="C76">
        <v>1</v>
      </c>
      <c r="D76" t="s">
        <v>144</v>
      </c>
      <c r="E76" s="28">
        <f>D40</f>
        <v>239016271918.68256</v>
      </c>
    </row>
    <row r="77" spans="3:5" ht="12.75">
      <c r="C77">
        <v>2</v>
      </c>
      <c r="D77" t="s">
        <v>85</v>
      </c>
      <c r="E77" s="28">
        <f>D50</f>
        <v>146057938585.34927</v>
      </c>
    </row>
    <row r="78" spans="3:4" ht="13.5" thickBot="1">
      <c r="C78">
        <v>3</v>
      </c>
      <c r="D78" t="s">
        <v>86</v>
      </c>
    </row>
    <row r="79" spans="7:9" ht="13.5" thickBot="1">
      <c r="G79" s="1"/>
      <c r="H79" s="15" t="s">
        <v>181</v>
      </c>
      <c r="I79" s="3"/>
    </row>
    <row r="80" spans="4:13" ht="13.5" thickBot="1">
      <c r="D80" s="7">
        <v>0</v>
      </c>
      <c r="E80" s="7">
        <v>1</v>
      </c>
      <c r="F80" s="7">
        <v>2</v>
      </c>
      <c r="G80" s="7">
        <v>3</v>
      </c>
      <c r="H80" s="7">
        <v>4</v>
      </c>
      <c r="I80" s="7">
        <v>5</v>
      </c>
      <c r="J80" s="7">
        <v>6</v>
      </c>
      <c r="K80" s="7">
        <v>7</v>
      </c>
      <c r="L80" s="7">
        <v>8</v>
      </c>
      <c r="M80" s="7">
        <v>9</v>
      </c>
    </row>
    <row r="81" spans="3:13" ht="13.5" thickBot="1">
      <c r="C81" s="5" t="s">
        <v>123</v>
      </c>
      <c r="D81" s="33">
        <f>$D33</f>
        <v>185916666666.6667</v>
      </c>
      <c r="E81" s="22"/>
      <c r="F81" s="22"/>
      <c r="G81" s="22"/>
      <c r="H81" s="22"/>
      <c r="I81" s="22"/>
      <c r="J81" s="22"/>
      <c r="K81" s="22"/>
      <c r="L81" s="22"/>
      <c r="M81" s="22"/>
    </row>
    <row r="82" spans="6:10" ht="13.5" thickBot="1">
      <c r="F82" s="1"/>
      <c r="G82" s="15"/>
      <c r="H82" s="2" t="s">
        <v>202</v>
      </c>
      <c r="I82" s="15"/>
      <c r="J82" s="3"/>
    </row>
    <row r="83" spans="4:13" ht="13.5" thickBot="1">
      <c r="D83" s="7">
        <v>0</v>
      </c>
      <c r="E83" s="7">
        <v>1</v>
      </c>
      <c r="F83" s="7">
        <v>2</v>
      </c>
      <c r="G83" s="7">
        <v>3</v>
      </c>
      <c r="H83" s="7">
        <v>4</v>
      </c>
      <c r="I83" s="7">
        <v>5</v>
      </c>
      <c r="J83" s="7">
        <v>6</v>
      </c>
      <c r="K83" s="7">
        <v>7</v>
      </c>
      <c r="L83" s="7">
        <v>8</v>
      </c>
      <c r="M83" s="7">
        <v>9</v>
      </c>
    </row>
    <row r="84" spans="3:13" ht="13.5" thickBot="1">
      <c r="C84" s="5" t="s">
        <v>203</v>
      </c>
      <c r="D84" s="71" t="s">
        <v>204</v>
      </c>
      <c r="E84" s="71" t="s">
        <v>204</v>
      </c>
      <c r="F84" s="71" t="s">
        <v>204</v>
      </c>
      <c r="G84" s="71" t="s">
        <v>204</v>
      </c>
      <c r="H84" s="71" t="s">
        <v>204</v>
      </c>
      <c r="I84" s="71" t="s">
        <v>204</v>
      </c>
      <c r="J84" s="71" t="s">
        <v>204</v>
      </c>
      <c r="K84" s="71" t="s">
        <v>204</v>
      </c>
      <c r="L84" s="71" t="s">
        <v>204</v>
      </c>
      <c r="M84" s="71" t="s">
        <v>204</v>
      </c>
    </row>
  </sheetData>
  <sheetProtection/>
  <printOptions/>
  <pageMargins left="0.3" right="0.3" top="0.7" bottom="0.7" header="0.5" footer="0.5"/>
  <pageSetup orientation="landscape" paperSize="9" scale="70"/>
  <headerFooter alignWithMargins="0">
    <oddHeader>&amp;L&amp;10Fiche 2&amp;C&amp;10Corrigé Projet Ban Ak Souf Artisanal</oddHeader>
    <oddFooter>&amp;C&amp;10-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2004-09-15T13:22:54Z</cp:lastPrinted>
  <dcterms:created xsi:type="dcterms:W3CDTF">2003-05-27T16:13:06Z</dcterms:created>
  <dcterms:modified xsi:type="dcterms:W3CDTF">2016-10-20T17:55:28Z</dcterms:modified>
  <cp:category/>
  <cp:version/>
  <cp:contentType/>
  <cp:contentStatus/>
</cp:coreProperties>
</file>