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3620" windowWidth="9880" windowHeight="5000" tabRatio="28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<sst xmlns="http://schemas.openxmlformats.org/spreadsheetml/2006/main" count="179" uniqueCount="121">
  <si>
    <t>P. LeBel</t>
  </si>
  <si>
    <t>©2001</t>
  </si>
  <si>
    <t xml:space="preserve">     As global economic growth expands, so too does the demand for energy.  Whether the relative</t>
  </si>
  <si>
    <t xml:space="preserve">scarcity of fossil fuels poses a threat both to the environment as well as to sustainable growth is a </t>
  </si>
  <si>
    <t xml:space="preserve">function of relative prices and technological change that produces technical efficiency in the production, </t>
  </si>
  <si>
    <t xml:space="preserve">storage, and conversion of exhaustible resources.   Shown below is a profile of various aspects of U.S. </t>
  </si>
  <si>
    <t>energy markets, as well as a few global comparions.</t>
  </si>
  <si>
    <t>U.S. Aggregate Energy Balances</t>
  </si>
  <si>
    <t>in quadrillion Btu's</t>
  </si>
  <si>
    <t>Production</t>
  </si>
  <si>
    <t>Consumption</t>
  </si>
  <si>
    <t>Imports</t>
  </si>
  <si>
    <t>Exports</t>
  </si>
  <si>
    <t>Net Imports</t>
  </si>
  <si>
    <t>Net Import Dependency Ratio</t>
  </si>
  <si>
    <t>Coal</t>
  </si>
  <si>
    <t>Natural Gas</t>
  </si>
  <si>
    <t>Crude Oil</t>
  </si>
  <si>
    <t>NG Liquid</t>
  </si>
  <si>
    <t>Total</t>
  </si>
  <si>
    <t>Nuclear</t>
  </si>
  <si>
    <t>HydroStorage</t>
  </si>
  <si>
    <t>HydroPower</t>
  </si>
  <si>
    <t>Wood Waste</t>
  </si>
  <si>
    <t>Geothermal</t>
  </si>
  <si>
    <t>Solar/Wind</t>
  </si>
  <si>
    <t>Energy Production by Source</t>
  </si>
  <si>
    <t>Ren%</t>
  </si>
  <si>
    <t>U.S. Energy Consumption by Source</t>
  </si>
  <si>
    <t>Petroleum</t>
  </si>
  <si>
    <t>HydroStore</t>
  </si>
  <si>
    <t>Hydropower</t>
  </si>
  <si>
    <t>SolarWind</t>
  </si>
  <si>
    <t>Balance</t>
  </si>
  <si>
    <t>Total Merchandise</t>
  </si>
  <si>
    <t>U.S. Merchandise Trade Balances</t>
  </si>
  <si>
    <t>Non-energy</t>
  </si>
  <si>
    <t xml:space="preserve">                 Energy</t>
  </si>
  <si>
    <t>(in $U.S. Millions of current dollars)</t>
  </si>
  <si>
    <t>Costs of Fuels to End Users in Constant (1982-84) Dollars</t>
  </si>
  <si>
    <t>in $U.S. Dollars per Mbtu</t>
  </si>
  <si>
    <t>Motor Gasoline</t>
  </si>
  <si>
    <t>Residential Oil</t>
  </si>
  <si>
    <t>Residential Natural Gas</t>
  </si>
  <si>
    <t>Residential Electricity</t>
  </si>
  <si>
    <t>CPI82-84</t>
  </si>
  <si>
    <t>CPI00</t>
  </si>
  <si>
    <t>U.S. Petroleum Trade</t>
  </si>
  <si>
    <t>Persian Gulf</t>
  </si>
  <si>
    <t>OPEC</t>
  </si>
  <si>
    <t>Total Imports</t>
  </si>
  <si>
    <t>DomProd.</t>
  </si>
  <si>
    <t>Total Supply</t>
  </si>
  <si>
    <t>Dom.Total</t>
  </si>
  <si>
    <t>Import Dep.</t>
  </si>
  <si>
    <t>OPEC Dep</t>
  </si>
  <si>
    <t>PerGulfDep</t>
  </si>
  <si>
    <t>Nigeria</t>
  </si>
  <si>
    <t>Venezuela</t>
  </si>
  <si>
    <t>Total Other-OPEC</t>
  </si>
  <si>
    <t>Other OPEC</t>
  </si>
  <si>
    <t>Total Net Imports</t>
  </si>
  <si>
    <t>OPEC/Import</t>
  </si>
  <si>
    <t>OPEC/Supply</t>
  </si>
  <si>
    <t>Import/Supply</t>
  </si>
  <si>
    <t>Total Footage</t>
  </si>
  <si>
    <t>Toal Wells Drilled</t>
  </si>
  <si>
    <t>Footage per well</t>
  </si>
  <si>
    <t>Footage per rig</t>
  </si>
  <si>
    <t>1000 feet</t>
  </si>
  <si>
    <t>Electricity Net Generation at Electric Utilities</t>
  </si>
  <si>
    <t>(million kilowatthours)</t>
  </si>
  <si>
    <t>Hydro</t>
  </si>
  <si>
    <t>Wood</t>
  </si>
  <si>
    <t>Waste</t>
  </si>
  <si>
    <t>Wind</t>
  </si>
  <si>
    <t>Solar</t>
  </si>
  <si>
    <t>Electricity Net Generation at Nonutility Power Producers</t>
  </si>
  <si>
    <t>OtherGas</t>
  </si>
  <si>
    <t>Utility Share</t>
  </si>
  <si>
    <t>Non-Utility Share</t>
  </si>
  <si>
    <t>Residential</t>
  </si>
  <si>
    <t>Commercial</t>
  </si>
  <si>
    <t>Industrial</t>
  </si>
  <si>
    <t>Other</t>
  </si>
  <si>
    <t>Direct</t>
  </si>
  <si>
    <t>Sales to end users</t>
  </si>
  <si>
    <t>Crude Oil Price Summary</t>
  </si>
  <si>
    <t>Landed Cost of Imports</t>
  </si>
  <si>
    <t>Refiner Acquisiton Composite Cost</t>
  </si>
  <si>
    <t>Domestic First Purchase</t>
  </si>
  <si>
    <t>CPU82-84</t>
  </si>
  <si>
    <t>CPU00</t>
  </si>
  <si>
    <t>Real Domestic First Purchase</t>
  </si>
  <si>
    <t>Real Landed Cost of Imports</t>
  </si>
  <si>
    <t>Real Refiner Acquisiton Composite Cost</t>
  </si>
  <si>
    <t>Energy Consumption</t>
  </si>
  <si>
    <t>GDP</t>
  </si>
  <si>
    <t>1996 Chained</t>
  </si>
  <si>
    <t>Aggregate Energy Intensity</t>
  </si>
  <si>
    <t>Auto MPG</t>
  </si>
  <si>
    <t>Truck MPG</t>
  </si>
  <si>
    <t>All MPG</t>
  </si>
  <si>
    <t>Van MPG</t>
  </si>
  <si>
    <t>U.S. Aggregate Energy Intensity and Fuel Efficiency Trends</t>
  </si>
  <si>
    <t>1000 barrels per day</t>
  </si>
  <si>
    <t>Non-OPEC</t>
  </si>
  <si>
    <t>World</t>
  </si>
  <si>
    <t>OPEC Annual</t>
  </si>
  <si>
    <t>OPEC Real Price</t>
  </si>
  <si>
    <t>OPEC Real Total Revenue</t>
  </si>
  <si>
    <t>OPEC Nominal Crude Price</t>
  </si>
  <si>
    <t xml:space="preserve">       Energy Resources</t>
  </si>
  <si>
    <t>energy markets, as well as a few global comparions.  Data files for graphs are compressed below.</t>
  </si>
  <si>
    <t>U.S. Dependency on OPEC</t>
  </si>
  <si>
    <t>U.S. Total Rig Count and Real Crude Oil Prices</t>
  </si>
  <si>
    <t>Utility Share of Total U.S. Electricity Generation</t>
  </si>
  <si>
    <t>U.S. Electricity End Use</t>
  </si>
  <si>
    <t>U.S. Total Operable Nuclear Generating Units</t>
  </si>
  <si>
    <t>Distribution of Global Crude Oil Production</t>
  </si>
  <si>
    <t xml:space="preserve">       Energy Resources Database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</si>
</sst>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$&quot;#,##0"/>
    <numFmt numFmtId="167" formatCode="&quot;$&quot;#,##0.00"/>
    <numFmt numFmtId="168" formatCode="0.0"/>
  </numFmts>
  <fonts count="3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Helv"/>
      <family val="0"/>
    </font>
    <font>
      <sz val="12"/>
      <name val="Helv"/>
      <family val="0"/>
    </font>
    <font>
      <b/>
      <sz val="12"/>
      <color indexed="12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b/>
      <sz val="10"/>
      <color indexed="12"/>
      <name val="Helv"/>
      <family val="0"/>
    </font>
    <font>
      <b/>
      <sz val="12"/>
      <name val="Helv"/>
      <family val="0"/>
    </font>
    <font>
      <sz val="1"/>
      <name val="Helv"/>
      <family val="0"/>
    </font>
    <font>
      <b/>
      <sz val="15.5"/>
      <color indexed="12"/>
      <name val="Helv"/>
      <family val="0"/>
    </font>
    <font>
      <sz val="8.25"/>
      <name val="Helv"/>
      <family val="0"/>
    </font>
    <font>
      <sz val="11.75"/>
      <name val="Helv"/>
      <family val="0"/>
    </font>
    <font>
      <sz val="9.5"/>
      <name val="Helv"/>
      <family val="0"/>
    </font>
    <font>
      <sz val="11.5"/>
      <name val="Helv"/>
      <family val="0"/>
    </font>
    <font>
      <sz val="8.5"/>
      <name val="Helv"/>
      <family val="0"/>
    </font>
    <font>
      <sz val="8"/>
      <name val="Helv"/>
      <family val="0"/>
    </font>
    <font>
      <sz val="8.75"/>
      <name val="Helv"/>
      <family val="0"/>
    </font>
    <font>
      <vertAlign val="superscript"/>
      <sz val="8.75"/>
      <name val="Helv"/>
      <family val="0"/>
    </font>
    <font>
      <b/>
      <sz val="17.75"/>
      <name val="Helv"/>
      <family val="0"/>
    </font>
    <font>
      <b/>
      <sz val="9.25"/>
      <name val="Helv"/>
      <family val="0"/>
    </font>
    <font>
      <sz val="9.25"/>
      <name val="Helv"/>
      <family val="0"/>
    </font>
    <font>
      <b/>
      <sz val="18.75"/>
      <color indexed="12"/>
      <name val="Helv"/>
      <family val="0"/>
    </font>
    <font>
      <b/>
      <sz val="9"/>
      <color indexed="8"/>
      <name val="Helv"/>
      <family val="0"/>
    </font>
    <font>
      <b/>
      <sz val="9"/>
      <color indexed="12"/>
      <name val="Helv"/>
      <family val="0"/>
    </font>
    <font>
      <vertAlign val="superscript"/>
      <sz val="9"/>
      <name val="Helv"/>
      <family val="0"/>
    </font>
    <font>
      <b/>
      <sz val="9"/>
      <color indexed="10"/>
      <name val="Helv"/>
      <family val="0"/>
    </font>
    <font>
      <b/>
      <sz val="9"/>
      <color indexed="57"/>
      <name val="Helv"/>
      <family val="0"/>
    </font>
    <font>
      <sz val="15.75"/>
      <name val="Helv"/>
      <family val="0"/>
    </font>
    <font>
      <b/>
      <sz val="15.75"/>
      <name val="Helv"/>
      <family val="0"/>
    </font>
    <font>
      <b/>
      <sz val="16"/>
      <name val="Helv"/>
      <family val="0"/>
    </font>
    <font>
      <b/>
      <sz val="9.5"/>
      <name val="Helv"/>
      <family val="0"/>
    </font>
    <font>
      <b/>
      <sz val="11"/>
      <color indexed="12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6" fillId="0" borderId="1" xfId="0" applyNumberFormat="1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2" fontId="9" fillId="0" borderId="4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2" fontId="9" fillId="0" borderId="6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2" fontId="6" fillId="0" borderId="4" xfId="0" applyNumberFormat="1" applyFont="1" applyBorder="1" applyAlignment="1">
      <alignment/>
    </xf>
    <xf numFmtId="2" fontId="6" fillId="0" borderId="6" xfId="0" applyNumberFormat="1" applyFont="1" applyBorder="1" applyAlignment="1">
      <alignment horizontal="center"/>
    </xf>
    <xf numFmtId="167" fontId="4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6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4" fillId="0" borderId="0" xfId="0" applyNumberFormat="1" applyFont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5" fillId="0" borderId="0" xfId="0" applyFont="1" applyAlignment="1">
      <alignment/>
    </xf>
    <xf numFmtId="2" fontId="6" fillId="0" borderId="5" xfId="0" applyNumberFormat="1" applyFont="1" applyBorder="1" applyAlignment="1">
      <alignment/>
    </xf>
    <xf numFmtId="2" fontId="10" fillId="0" borderId="4" xfId="0" applyNumberFormat="1" applyFont="1" applyBorder="1" applyAlignment="1">
      <alignment/>
    </xf>
    <xf numFmtId="2" fontId="10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U.S. Aggregate Energy Balances</a:t>
            </a:r>
            <a:r>
              <a:rPr lang="en-US" cap="none" sz="15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in quadrillion Btu's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05"/>
          <c:y val="0.2025"/>
          <c:w val="0.966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Production 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FF"/>
                        </a:solidFill>
                        <a:latin typeface="Helv"/>
                        <a:ea typeface="Helv"/>
                        <a:cs typeface="Helv"/>
                      </a:rPr>
                      <a:t>Production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:
y = -0.0002x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+ 0.0046x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+ 0.4608x + 61.277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0.8911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Sheet1!$B$13:$B$45</c:f>
              <c:numCache>
                <c:ptCount val="33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</c:numCache>
            </c:numRef>
          </c:cat>
          <c:val>
            <c:numRef>
              <c:f>Sheet1!$C$13:$C$45</c:f>
              <c:numCache>
                <c:ptCount val="33"/>
                <c:pt idx="0">
                  <c:v>63.585</c:v>
                </c:pt>
                <c:pt idx="1">
                  <c:v>62.372</c:v>
                </c:pt>
                <c:pt idx="2">
                  <c:v>61.357</c:v>
                </c:pt>
                <c:pt idx="3">
                  <c:v>61.602</c:v>
                </c:pt>
                <c:pt idx="4">
                  <c:v>62.052</c:v>
                </c:pt>
                <c:pt idx="5">
                  <c:v>63.137</c:v>
                </c:pt>
                <c:pt idx="6">
                  <c:v>65.948</c:v>
                </c:pt>
                <c:pt idx="7">
                  <c:v>67.241</c:v>
                </c:pt>
                <c:pt idx="8">
                  <c:v>67.007</c:v>
                </c:pt>
                <c:pt idx="9">
                  <c:v>66.574</c:v>
                </c:pt>
                <c:pt idx="10">
                  <c:v>64.106</c:v>
                </c:pt>
                <c:pt idx="11">
                  <c:v>68.832</c:v>
                </c:pt>
                <c:pt idx="12">
                  <c:v>67.72</c:v>
                </c:pt>
                <c:pt idx="13">
                  <c:v>67.178</c:v>
                </c:pt>
                <c:pt idx="14">
                  <c:v>67.76</c:v>
                </c:pt>
                <c:pt idx="15">
                  <c:v>69.025</c:v>
                </c:pt>
                <c:pt idx="16">
                  <c:v>69.457</c:v>
                </c:pt>
                <c:pt idx="17">
                  <c:v>70.822</c:v>
                </c:pt>
                <c:pt idx="18">
                  <c:v>70.515</c:v>
                </c:pt>
                <c:pt idx="19">
                  <c:v>70.056</c:v>
                </c:pt>
                <c:pt idx="20">
                  <c:v>68.367</c:v>
                </c:pt>
                <c:pt idx="21">
                  <c:v>70.836</c:v>
                </c:pt>
                <c:pt idx="22">
                  <c:v>71.291</c:v>
                </c:pt>
                <c:pt idx="23">
                  <c:v>72.583</c:v>
                </c:pt>
                <c:pt idx="24">
                  <c:v>72.532</c:v>
                </c:pt>
                <c:pt idx="25">
                  <c:v>72.553</c:v>
                </c:pt>
                <c:pt idx="26">
                  <c:v>72.404</c:v>
                </c:pt>
                <c:pt idx="27">
                  <c:v>72.1704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Sheet1!$E$12</c:f>
              <c:strCache>
                <c:ptCount val="1"/>
                <c:pt idx="0">
                  <c:v>Consumption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Consumption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  <a:latin typeface="Helv"/>
                        <a:ea typeface="Helv"/>
                        <a:cs typeface="Helv"/>
                      </a:rPr>
                      <a:t>Consumption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:
y = 0.0411x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- 0.3422x + 76.333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0.9174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Sheet1!$B$13:$B$45</c:f>
              <c:numCache>
                <c:ptCount val="33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</c:numCache>
            </c:numRef>
          </c:cat>
          <c:val>
            <c:numRef>
              <c:f>Sheet1!$E$13:$E$45</c:f>
              <c:numCache>
                <c:ptCount val="33"/>
                <c:pt idx="0">
                  <c:v>75.808</c:v>
                </c:pt>
                <c:pt idx="1">
                  <c:v>74.08</c:v>
                </c:pt>
                <c:pt idx="2">
                  <c:v>72.042</c:v>
                </c:pt>
                <c:pt idx="3">
                  <c:v>76.072</c:v>
                </c:pt>
                <c:pt idx="4">
                  <c:v>78.122</c:v>
                </c:pt>
                <c:pt idx="5">
                  <c:v>80.123</c:v>
                </c:pt>
                <c:pt idx="6">
                  <c:v>81.044</c:v>
                </c:pt>
                <c:pt idx="7">
                  <c:v>78.435</c:v>
                </c:pt>
                <c:pt idx="8">
                  <c:v>76.569</c:v>
                </c:pt>
                <c:pt idx="9">
                  <c:v>73.44</c:v>
                </c:pt>
                <c:pt idx="10">
                  <c:v>73.317</c:v>
                </c:pt>
                <c:pt idx="11">
                  <c:v>76.972</c:v>
                </c:pt>
                <c:pt idx="12">
                  <c:v>76.778</c:v>
                </c:pt>
                <c:pt idx="13">
                  <c:v>77.065</c:v>
                </c:pt>
                <c:pt idx="14">
                  <c:v>79.633</c:v>
                </c:pt>
                <c:pt idx="15">
                  <c:v>83.068</c:v>
                </c:pt>
                <c:pt idx="16">
                  <c:v>84.607</c:v>
                </c:pt>
                <c:pt idx="17">
                  <c:v>84.214</c:v>
                </c:pt>
                <c:pt idx="18">
                  <c:v>84.217</c:v>
                </c:pt>
                <c:pt idx="19">
                  <c:v>85.491</c:v>
                </c:pt>
                <c:pt idx="20">
                  <c:v>87.281</c:v>
                </c:pt>
                <c:pt idx="21">
                  <c:v>89.189</c:v>
                </c:pt>
                <c:pt idx="22">
                  <c:v>90.924</c:v>
                </c:pt>
                <c:pt idx="23">
                  <c:v>93.902</c:v>
                </c:pt>
                <c:pt idx="24">
                  <c:v>94.307</c:v>
                </c:pt>
                <c:pt idx="25">
                  <c:v>94.537</c:v>
                </c:pt>
                <c:pt idx="26">
                  <c:v>96.991</c:v>
                </c:pt>
                <c:pt idx="27">
                  <c:v>97.36679999999998</c:v>
                </c:pt>
              </c:numCache>
            </c:numRef>
          </c:val>
          <c:smooth val="0"/>
        </c:ser>
        <c:marker val="1"/>
        <c:axId val="36533515"/>
        <c:axId val="60366180"/>
      </c:lineChart>
      <c:catAx>
        <c:axId val="3653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0366180"/>
        <c:crosses val="autoZero"/>
        <c:auto val="1"/>
        <c:lblOffset val="100"/>
        <c:noMultiLvlLbl val="0"/>
      </c:catAx>
      <c:valAx>
        <c:axId val="6036618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653351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23"/>
          <c:w val="0.6235"/>
          <c:h val="0.05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75" b="0" i="0" u="none" baseline="0">
          <a:latin typeface="Helv"/>
          <a:ea typeface="Helv"/>
          <a:cs typeface="Helv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U.S. Petroleum Import Dependency Ratios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75"/>
          <c:w val="0.97075"/>
          <c:h val="0.703"/>
        </c:manualLayout>
      </c:layout>
      <c:lineChart>
        <c:grouping val="standard"/>
        <c:varyColors val="0"/>
        <c:ser>
          <c:idx val="0"/>
          <c:order val="0"/>
          <c:tx>
            <c:v>Total Import Dependency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Total Import Dependency Ratio Trend</c:nam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  <a:latin typeface="Helv"/>
                        <a:ea typeface="Helv"/>
                        <a:cs typeface="Helv"/>
                      </a:rPr>
                      <a:t>Total Import Dependency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
y = 0.0007x2 - 0.013x + 0.4217
R2 = 0.7091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Sheet1!$B$219:$B$256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Sheet1!$K$219:$K$256</c:f>
              <c:numCache>
                <c:ptCount val="38"/>
                <c:pt idx="0">
                  <c:v>0.35441176470588237</c:v>
                </c:pt>
                <c:pt idx="1">
                  <c:v>0.3594484105192507</c:v>
                </c:pt>
                <c:pt idx="2">
                  <c:v>0.3679209665240373</c:v>
                </c:pt>
                <c:pt idx="3">
                  <c:v>0.4204222011385199</c:v>
                </c:pt>
                <c:pt idx="4">
                  <c:v>0.46349515614006603</c:v>
                </c:pt>
                <c:pt idx="5">
                  <c:v>0.4365213595940859</c:v>
                </c:pt>
                <c:pt idx="6">
                  <c:v>0.43960581369742346</c:v>
                </c:pt>
                <c:pt idx="7">
                  <c:v>0.3883702483372994</c:v>
                </c:pt>
                <c:pt idx="8">
                  <c:v>0.34553131597466574</c:v>
                </c:pt>
                <c:pt idx="9">
                  <c:v>0.2953951890034364</c:v>
                </c:pt>
                <c:pt idx="10">
                  <c:v>0.29512011498186297</c:v>
                </c:pt>
                <c:pt idx="11">
                  <c:v>0.30879559892592834</c:v>
                </c:pt>
                <c:pt idx="12">
                  <c:v>0.2872269132824018</c:v>
                </c:pt>
                <c:pt idx="13">
                  <c:v>0.34581637843336727</c:v>
                </c:pt>
                <c:pt idx="14">
                  <c:v>0.37143574927772893</c:v>
                </c:pt>
                <c:pt idx="15">
                  <c:v>0.4015239256324291</c:v>
                </c:pt>
                <c:pt idx="16">
                  <c:v>0.4385847390536508</c:v>
                </c:pt>
                <c:pt idx="17">
                  <c:v>0.44326833797585885</c:v>
                </c:pt>
                <c:pt idx="18">
                  <c:v>0.419526402431303</c:v>
                </c:pt>
                <c:pt idx="19">
                  <c:v>0.43542111208736034</c:v>
                </c:pt>
                <c:pt idx="20">
                  <c:v>0.462955084179177</c:v>
                </c:pt>
                <c:pt idx="21">
                  <c:v>0.4823043296005749</c:v>
                </c:pt>
                <c:pt idx="22">
                  <c:v>0.4775920542635659</c:v>
                </c:pt>
                <c:pt idx="23">
                  <c:v>0.4967843779232928</c:v>
                </c:pt>
                <c:pt idx="24">
                  <c:v>0.51541924592009</c:v>
                </c:pt>
                <c:pt idx="25">
                  <c:v>0.5377581933351694</c:v>
                </c:pt>
                <c:pt idx="26">
                  <c:v>0.550086020311893</c:v>
                </c:pt>
                <c:pt idx="27">
                  <c:v>0.5715266258651261</c:v>
                </c:pt>
              </c:numCache>
            </c:numRef>
          </c:val>
          <c:smooth val="0"/>
        </c:ser>
        <c:ser>
          <c:idx val="1"/>
          <c:order val="1"/>
          <c:tx>
            <c:v>Dependency on OPEC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trendline>
            <c:name>OPEC Dependency Ratio Trend</c:name>
            <c:spPr>
              <a:ln w="25400">
                <a:solidFill>
                  <a:srgbClr val="00FF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9966"/>
                        </a:solidFill>
                        <a:latin typeface="Helv"/>
                        <a:ea typeface="Helv"/>
                        <a:cs typeface="Helv"/>
                      </a:rPr>
                      <a:t>OPEC Dependency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
y = 0.0004x2 - 0.0091x + 0.2684
R2 = 0.1675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Sheet1!$B$219:$B$256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Sheet1!$L$219:$L$256</c:f>
              <c:numCache>
                <c:ptCount val="38"/>
                <c:pt idx="0">
                  <c:v>0.17605882352941177</c:v>
                </c:pt>
                <c:pt idx="1">
                  <c:v>0.20013423637805847</c:v>
                </c:pt>
                <c:pt idx="2">
                  <c:v>0.2265919959728165</c:v>
                </c:pt>
                <c:pt idx="3">
                  <c:v>0.3004032258064516</c:v>
                </c:pt>
                <c:pt idx="4">
                  <c:v>0.33517345889484224</c:v>
                </c:pt>
                <c:pt idx="5">
                  <c:v>0.31376507174423046</c:v>
                </c:pt>
                <c:pt idx="6">
                  <c:v>0.31033913234970273</c:v>
                </c:pt>
                <c:pt idx="7">
                  <c:v>0.26237110256879614</c:v>
                </c:pt>
                <c:pt idx="8">
                  <c:v>0.21259036529972491</c:v>
                </c:pt>
                <c:pt idx="9">
                  <c:v>0.1474914089347079</c:v>
                </c:pt>
                <c:pt idx="10">
                  <c:v>0.12743823146944083</c:v>
                </c:pt>
                <c:pt idx="11">
                  <c:v>0.1341934638810662</c:v>
                </c:pt>
                <c:pt idx="12">
                  <c:v>0.12263771612384398</c:v>
                </c:pt>
                <c:pt idx="13">
                  <c:v>0.18037894201424212</c:v>
                </c:pt>
                <c:pt idx="14">
                  <c:v>0.1921869111920613</c:v>
                </c:pt>
                <c:pt idx="15">
                  <c:v>0.21456872904602256</c:v>
                </c:pt>
                <c:pt idx="16">
                  <c:v>0.25211619268010477</c:v>
                </c:pt>
                <c:pt idx="17">
                  <c:v>0.2659238625812442</c:v>
                </c:pt>
                <c:pt idx="18">
                  <c:v>0.2590857287577561</c:v>
                </c:pt>
                <c:pt idx="19">
                  <c:v>0.25680933852140075</c:v>
                </c:pt>
                <c:pt idx="20">
                  <c:v>0.25970947547559714</c:v>
                </c:pt>
                <c:pt idx="21">
                  <c:v>0.25432660638361576</c:v>
                </c:pt>
                <c:pt idx="22">
                  <c:v>0.24236918604651161</c:v>
                </c:pt>
                <c:pt idx="23">
                  <c:v>0.24619971936389148</c:v>
                </c:pt>
                <c:pt idx="24">
                  <c:v>0.2571187394485087</c:v>
                </c:pt>
                <c:pt idx="25">
                  <c:v>0.27017350592123385</c:v>
                </c:pt>
                <c:pt idx="26">
                  <c:v>0.27487651922970197</c:v>
                </c:pt>
                <c:pt idx="27">
                  <c:v>0.2915403534862438</c:v>
                </c:pt>
              </c:numCache>
            </c:numRef>
          </c:val>
          <c:smooth val="0"/>
        </c:ser>
        <c:ser>
          <c:idx val="2"/>
          <c:order val="2"/>
          <c:tx>
            <c:v>Dependency on Persian Gulf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Persian Gulf Dependency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Persian Gulf Dependency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
y = 0.0002x2 - 0.0035x + 0.0922
R2 = 0.2749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Sheet1!$B$219:$B$256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Sheet1!$M$219:$M$256</c:f>
              <c:numCache>
                <c:ptCount val="38"/>
                <c:pt idx="0">
                  <c:v>0.04988235294117647</c:v>
                </c:pt>
                <c:pt idx="1">
                  <c:v>0.06339618036487889</c:v>
                </c:pt>
                <c:pt idx="2">
                  <c:v>0.07330732443996979</c:v>
                </c:pt>
                <c:pt idx="3">
                  <c:v>0.10910815939278938</c:v>
                </c:pt>
                <c:pt idx="4">
                  <c:v>0.13248904042864101</c:v>
                </c:pt>
                <c:pt idx="5">
                  <c:v>0.1210649789950352</c:v>
                </c:pt>
                <c:pt idx="6">
                  <c:v>0.113906628495926</c:v>
                </c:pt>
                <c:pt idx="7">
                  <c:v>0.09268411739581427</c:v>
                </c:pt>
                <c:pt idx="8">
                  <c:v>0.07798605335551148</c:v>
                </c:pt>
                <c:pt idx="9">
                  <c:v>0.047835051546391755</c:v>
                </c:pt>
                <c:pt idx="10">
                  <c:v>0.0302511806173431</c:v>
                </c:pt>
                <c:pt idx="11">
                  <c:v>0.033139039884733774</c:v>
                </c:pt>
                <c:pt idx="12">
                  <c:v>0.02084171022651119</c:v>
                </c:pt>
                <c:pt idx="13">
                  <c:v>0.05798575788402848</c:v>
                </c:pt>
                <c:pt idx="14">
                  <c:v>0.0676422559979902</c:v>
                </c:pt>
                <c:pt idx="15">
                  <c:v>0.09393477598293204</c:v>
                </c:pt>
                <c:pt idx="16">
                  <c:v>0.11333049144388284</c:v>
                </c:pt>
                <c:pt idx="17">
                  <c:v>0.12169606932838131</c:v>
                </c:pt>
                <c:pt idx="18">
                  <c:v>0.11681651259972141</c:v>
                </c:pt>
                <c:pt idx="19">
                  <c:v>0.11158528931843856</c:v>
                </c:pt>
                <c:pt idx="20">
                  <c:v>0.1083085151644077</c:v>
                </c:pt>
                <c:pt idx="21">
                  <c:v>0.10347925025450626</c:v>
                </c:pt>
                <c:pt idx="22">
                  <c:v>0.0952640503875969</c:v>
                </c:pt>
                <c:pt idx="23">
                  <c:v>0.09377923292797007</c:v>
                </c:pt>
                <c:pt idx="24">
                  <c:v>0.09876195835678109</c:v>
                </c:pt>
                <c:pt idx="25">
                  <c:v>0.11765353896998072</c:v>
                </c:pt>
                <c:pt idx="26">
                  <c:v>0.1367445474221655</c:v>
                </c:pt>
                <c:pt idx="27">
                  <c:v>0.1395641480295144</c:v>
                </c:pt>
              </c:numCache>
            </c:numRef>
          </c:val>
          <c:smooth val="0"/>
        </c:ser>
        <c:marker val="1"/>
        <c:axId val="22038741"/>
        <c:axId val="64130942"/>
      </c:lineChart>
      <c:catAx>
        <c:axId val="2203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0942"/>
        <c:crosses val="autoZero"/>
        <c:auto val="1"/>
        <c:lblOffset val="100"/>
        <c:noMultiLvlLbl val="0"/>
      </c:catAx>
      <c:valAx>
        <c:axId val="6413094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03874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3"/>
          <c:y val="0.86175"/>
          <c:w val="0.89075"/>
          <c:h val="0.092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OPEC Shares in U.S. Petroleum Supply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825"/>
          <c:y val="0.11875"/>
          <c:w val="0.948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Sheet1!$J$259</c:f>
              <c:strCache>
                <c:ptCount val="1"/>
                <c:pt idx="0">
                  <c:v>OPEC/Import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OPEC Share of Imports 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FF"/>
                        </a:solidFill>
                        <a:latin typeface="Helv"/>
                        <a:ea typeface="Helv"/>
                        <a:cs typeface="Helv"/>
                      </a:rPr>
                      <a:t>OPEC Share of Import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
y = 0.0001x2 - 0.0085x + 0.6457
R2 = 0.1846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Sheet1!$B$260:$B$297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Sheet1!$J$260:$J$298</c:f>
              <c:numCache>
                <c:ptCount val="39"/>
                <c:pt idx="0">
                  <c:v>0.4967634854771784</c:v>
                </c:pt>
                <c:pt idx="1">
                  <c:v>0.5566870332654447</c:v>
                </c:pt>
                <c:pt idx="2">
                  <c:v>0.6159767362299008</c:v>
                </c:pt>
                <c:pt idx="3">
                  <c:v>0.7145275035260931</c:v>
                </c:pt>
                <c:pt idx="4">
                  <c:v>0.7230589608873321</c:v>
                </c:pt>
                <c:pt idx="5">
                  <c:v>0.7186953261684579</c:v>
                </c:pt>
                <c:pt idx="6">
                  <c:v>0.7059486537257358</c:v>
                </c:pt>
                <c:pt idx="7">
                  <c:v>0.6755695208169678</c:v>
                </c:pt>
                <c:pt idx="8">
                  <c:v>0.6152564339937049</c:v>
                </c:pt>
                <c:pt idx="9">
                  <c:v>0.4993020009306654</c:v>
                </c:pt>
                <c:pt idx="10">
                  <c:v>0.4318181818181818</c:v>
                </c:pt>
                <c:pt idx="11">
                  <c:v>0.43457051961823967</c:v>
                </c:pt>
                <c:pt idx="12">
                  <c:v>0.4269715352309846</c:v>
                </c:pt>
                <c:pt idx="13">
                  <c:v>0.5216032358889502</c:v>
                </c:pt>
                <c:pt idx="14">
                  <c:v>0.5174163003043625</c:v>
                </c:pt>
                <c:pt idx="15">
                  <c:v>0.5343859116441476</c:v>
                </c:pt>
                <c:pt idx="16">
                  <c:v>0.5748403221327409</c:v>
                </c:pt>
                <c:pt idx="17">
                  <c:v>0.5999162128194386</c:v>
                </c:pt>
                <c:pt idx="18">
                  <c:v>0.6175671596740114</c:v>
                </c:pt>
                <c:pt idx="19">
                  <c:v>0.5897953300663016</c:v>
                </c:pt>
                <c:pt idx="20">
                  <c:v>0.560908374901549</c:v>
                </c:pt>
                <c:pt idx="21">
                  <c:v>0.5273156195679166</c:v>
                </c:pt>
                <c:pt idx="22">
                  <c:v>0.5074816129850368</c:v>
                </c:pt>
                <c:pt idx="23">
                  <c:v>0.4955283596140268</c:v>
                </c:pt>
                <c:pt idx="24">
                  <c:v>0.4989080585280629</c:v>
                </c:pt>
                <c:pt idx="25">
                  <c:v>0.502355591970504</c:v>
                </c:pt>
                <c:pt idx="26">
                  <c:v>0.49969733656174337</c:v>
                </c:pt>
                <c:pt idx="27">
                  <c:v>0.5544285209256792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Sheet1!$K$259</c:f>
              <c:strCache>
                <c:ptCount val="1"/>
                <c:pt idx="0">
                  <c:v>OPEC/Supply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OPEC Share of Total Supply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  <a:latin typeface="Helv"/>
                        <a:ea typeface="Helv"/>
                        <a:cs typeface="Helv"/>
                      </a:rPr>
                      <a:t>OPEC Supply Share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
y = 0.0004x2 - 0.0096x + 0.2659
R2 = 0.1595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Sheet1!$B$260:$B$297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Sheet1!$K$260:$K$298</c:f>
              <c:numCache>
                <c:ptCount val="39"/>
                <c:pt idx="0">
                  <c:v>0.17292581465218396</c:v>
                </c:pt>
                <c:pt idx="1">
                  <c:v>0.1969615084369183</c:v>
                </c:pt>
                <c:pt idx="2">
                  <c:v>0.2206224727361843</c:v>
                </c:pt>
                <c:pt idx="3">
                  <c:v>0.2901322948284749</c:v>
                </c:pt>
                <c:pt idx="4">
                  <c:v>0.3360099831805111</c:v>
                </c:pt>
                <c:pt idx="5">
                  <c:v>0.3051414018146124</c:v>
                </c:pt>
                <c:pt idx="6">
                  <c:v>0.30448873764381784</c:v>
                </c:pt>
                <c:pt idx="7">
                  <c:v>0.2521106941838649</c:v>
                </c:pt>
                <c:pt idx="8">
                  <c:v>0.20693735209864242</c:v>
                </c:pt>
                <c:pt idx="9">
                  <c:v>0.14029811715481172</c:v>
                </c:pt>
                <c:pt idx="10">
                  <c:v>0.12225067296960147</c:v>
                </c:pt>
                <c:pt idx="11">
                  <c:v>0.13029378099961847</c:v>
                </c:pt>
                <c:pt idx="12">
                  <c:v>0.1163677985501717</c:v>
                </c:pt>
                <c:pt idx="13">
                  <c:v>0.17425219581106813</c:v>
                </c:pt>
                <c:pt idx="14">
                  <c:v>0.18361836183618363</c:v>
                </c:pt>
                <c:pt idx="15">
                  <c:v>0.20366834461609673</c:v>
                </c:pt>
                <c:pt idx="16">
                  <c:v>0.23896103896103896</c:v>
                </c:pt>
                <c:pt idx="17">
                  <c:v>0.2528843889804568</c:v>
                </c:pt>
                <c:pt idx="18">
                  <c:v>0.24482469785808306</c:v>
                </c:pt>
                <c:pt idx="19">
                  <c:v>0.2402395350202548</c:v>
                </c:pt>
                <c:pt idx="20">
                  <c:v>0.24789696582932064</c:v>
                </c:pt>
                <c:pt idx="21">
                  <c:v>0.23969974037701772</c:v>
                </c:pt>
                <c:pt idx="22">
                  <c:v>0.22578279266572637</c:v>
                </c:pt>
                <c:pt idx="23">
                  <c:v>0.22999617674367798</c:v>
                </c:pt>
                <c:pt idx="24">
                  <c:v>0.2453813104189044</c:v>
                </c:pt>
                <c:pt idx="25">
                  <c:v>0.2592905851879262</c:v>
                </c:pt>
                <c:pt idx="26">
                  <c:v>0.2537527537271377</c:v>
                </c:pt>
                <c:pt idx="27">
                  <c:v>0.2853810119258693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Sheet1!$L$259</c:f>
              <c:strCache>
                <c:ptCount val="1"/>
                <c:pt idx="0">
                  <c:v>Import/Supply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Import Dependency Ratio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Import Dependency Ratio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
y = 0.0006x2 - 0.0128x + 0.4135
R2 = 0.633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Sheet1!$B$260:$B$297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Sheet1!$L$260:$L$298</c:f>
              <c:numCache>
                <c:ptCount val="39"/>
                <c:pt idx="0">
                  <c:v>0.34810492257915415</c:v>
                </c:pt>
                <c:pt idx="1">
                  <c:v>0.3538101243019276</c:v>
                </c:pt>
                <c:pt idx="2">
                  <c:v>0.3581668913123392</c:v>
                </c:pt>
                <c:pt idx="3">
                  <c:v>0.4060477635874234</c:v>
                </c:pt>
                <c:pt idx="4">
                  <c:v>0.46470620150832836</c:v>
                </c:pt>
                <c:pt idx="5">
                  <c:v>0.4245768557330079</c:v>
                </c:pt>
                <c:pt idx="6">
                  <c:v>0.43131853292281097</c:v>
                </c:pt>
                <c:pt idx="7">
                  <c:v>0.3731824577861163</c:v>
                </c:pt>
                <c:pt idx="8">
                  <c:v>0.3363432556980944</c:v>
                </c:pt>
                <c:pt idx="9">
                  <c:v>0.2809884937238494</c:v>
                </c:pt>
                <c:pt idx="10">
                  <c:v>0.28310682161381395</c:v>
                </c:pt>
                <c:pt idx="11">
                  <c:v>0.2998219509093221</c:v>
                </c:pt>
                <c:pt idx="12">
                  <c:v>0.272542286659036</c:v>
                </c:pt>
                <c:pt idx="13">
                  <c:v>0.33407038879675693</c:v>
                </c:pt>
                <c:pt idx="14">
                  <c:v>0.35487548754875486</c:v>
                </c:pt>
                <c:pt idx="15">
                  <c:v>0.38112596192790604</c:v>
                </c:pt>
                <c:pt idx="16">
                  <c:v>0.4156998556998557</c:v>
                </c:pt>
                <c:pt idx="17">
                  <c:v>0.4215328467153285</c:v>
                </c:pt>
                <c:pt idx="18">
                  <c:v>0.39643412707909537</c:v>
                </c:pt>
                <c:pt idx="19">
                  <c:v>0.40732695356073506</c:v>
                </c:pt>
                <c:pt idx="20">
                  <c:v>0.4419562568892499</c:v>
                </c:pt>
                <c:pt idx="21">
                  <c:v>0.45456597810136584</c:v>
                </c:pt>
                <c:pt idx="22">
                  <c:v>0.4449083215796897</c:v>
                </c:pt>
                <c:pt idx="23">
                  <c:v>0.46414331749412857</c:v>
                </c:pt>
                <c:pt idx="24">
                  <c:v>0.49183673469387756</c:v>
                </c:pt>
                <c:pt idx="25">
                  <c:v>0.5161494951630808</c:v>
                </c:pt>
                <c:pt idx="26">
                  <c:v>0.5078129002510374</c:v>
                </c:pt>
                <c:pt idx="27">
                  <c:v>0.5147300349004311</c:v>
                </c:pt>
              </c:numCache>
            </c:numRef>
          </c:val>
          <c:smooth val="0"/>
        </c:ser>
        <c:marker val="1"/>
        <c:axId val="40307567"/>
        <c:axId val="27223784"/>
      </c:lineChart>
      <c:catAx>
        <c:axId val="4030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23784"/>
        <c:crosses val="autoZero"/>
        <c:auto val="1"/>
        <c:lblOffset val="100"/>
        <c:noMultiLvlLbl val="0"/>
      </c:catAx>
      <c:valAx>
        <c:axId val="2722378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30756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854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U.S. Crude Oil Total Wells Drilled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4625"/>
          <c:w val="0.965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Sheet1!$F$301</c:f>
              <c:strCache>
                <c:ptCount val="1"/>
                <c:pt idx="0">
                  <c:v>Toal Wells Drilled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trendline>
            <c:name>Total Wells Drilled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Sheet1!$C$302:$C$339</c:f>
              <c:numCache>
                <c:ptCount val="3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</c:numCache>
            </c:numRef>
          </c:cat>
          <c:val>
            <c:numRef>
              <c:f>Sheet1!$F$302:$F$338</c:f>
              <c:numCache>
                <c:ptCount val="37"/>
                <c:pt idx="0">
                  <c:v>27420</c:v>
                </c:pt>
                <c:pt idx="1">
                  <c:v>32902</c:v>
                </c:pt>
                <c:pt idx="2">
                  <c:v>38721</c:v>
                </c:pt>
                <c:pt idx="3">
                  <c:v>40855</c:v>
                </c:pt>
                <c:pt idx="4">
                  <c:v>45852</c:v>
                </c:pt>
                <c:pt idx="5">
                  <c:v>50145</c:v>
                </c:pt>
                <c:pt idx="6">
                  <c:v>52204</c:v>
                </c:pt>
                <c:pt idx="7">
                  <c:v>70610</c:v>
                </c:pt>
                <c:pt idx="8">
                  <c:v>91553</c:v>
                </c:pt>
                <c:pt idx="9">
                  <c:v>84397</c:v>
                </c:pt>
                <c:pt idx="10">
                  <c:v>75837</c:v>
                </c:pt>
                <c:pt idx="11">
                  <c:v>85413</c:v>
                </c:pt>
                <c:pt idx="12">
                  <c:v>70342</c:v>
                </c:pt>
                <c:pt idx="13">
                  <c:v>40291</c:v>
                </c:pt>
                <c:pt idx="14">
                  <c:v>35331</c:v>
                </c:pt>
                <c:pt idx="15">
                  <c:v>32232</c:v>
                </c:pt>
                <c:pt idx="16">
                  <c:v>27931</c:v>
                </c:pt>
                <c:pt idx="17">
                  <c:v>31555</c:v>
                </c:pt>
                <c:pt idx="18">
                  <c:v>28892</c:v>
                </c:pt>
                <c:pt idx="19">
                  <c:v>23084</c:v>
                </c:pt>
                <c:pt idx="20">
                  <c:v>24752</c:v>
                </c:pt>
                <c:pt idx="21">
                  <c:v>21566</c:v>
                </c:pt>
                <c:pt idx="22">
                  <c:v>21056</c:v>
                </c:pt>
                <c:pt idx="23">
                  <c:v>22898</c:v>
                </c:pt>
                <c:pt idx="24">
                  <c:v>27465</c:v>
                </c:pt>
                <c:pt idx="25">
                  <c:v>24083</c:v>
                </c:pt>
                <c:pt idx="26">
                  <c:v>18180</c:v>
                </c:pt>
                <c:pt idx="27">
                  <c:v>25140</c:v>
                </c:pt>
              </c:numCache>
            </c:numRef>
          </c:val>
          <c:smooth val="0"/>
        </c:ser>
        <c:marker val="1"/>
        <c:axId val="43687465"/>
        <c:axId val="57642866"/>
      </c:lineChart>
      <c:catAx>
        <c:axId val="4368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7642866"/>
        <c:crosses val="autoZero"/>
        <c:auto val="1"/>
        <c:lblOffset val="100"/>
        <c:noMultiLvlLbl val="0"/>
      </c:catAx>
      <c:valAx>
        <c:axId val="57642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368746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892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U.S.Crude Oil Total Drilling Rig Count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2725"/>
          <c:w val="0.983"/>
          <c:h val="0.7545"/>
        </c:manualLayout>
      </c:layout>
      <c:lineChart>
        <c:grouping val="standard"/>
        <c:varyColors val="0"/>
        <c:ser>
          <c:idx val="0"/>
          <c:order val="0"/>
          <c:tx>
            <c:v>Total Rig Count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Total Rig Count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Sheet1!$C$302:$C$339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Sheet1!$D$302:$D$339</c:f>
              <c:numCache>
                <c:ptCount val="38"/>
                <c:pt idx="0">
                  <c:v>1194</c:v>
                </c:pt>
                <c:pt idx="1">
                  <c:v>1472</c:v>
                </c:pt>
                <c:pt idx="2">
                  <c:v>1660</c:v>
                </c:pt>
                <c:pt idx="3">
                  <c:v>1658</c:v>
                </c:pt>
                <c:pt idx="4">
                  <c:v>2001</c:v>
                </c:pt>
                <c:pt idx="5">
                  <c:v>2259</c:v>
                </c:pt>
                <c:pt idx="6">
                  <c:v>2177</c:v>
                </c:pt>
                <c:pt idx="7">
                  <c:v>2909</c:v>
                </c:pt>
                <c:pt idx="8">
                  <c:v>3970</c:v>
                </c:pt>
                <c:pt idx="9">
                  <c:v>3105</c:v>
                </c:pt>
                <c:pt idx="10">
                  <c:v>2232</c:v>
                </c:pt>
                <c:pt idx="11">
                  <c:v>2428</c:v>
                </c:pt>
                <c:pt idx="12">
                  <c:v>1980</c:v>
                </c:pt>
                <c:pt idx="13">
                  <c:v>964</c:v>
                </c:pt>
                <c:pt idx="14">
                  <c:v>936</c:v>
                </c:pt>
                <c:pt idx="15">
                  <c:v>936</c:v>
                </c:pt>
                <c:pt idx="16">
                  <c:v>869</c:v>
                </c:pt>
                <c:pt idx="17">
                  <c:v>1010</c:v>
                </c:pt>
                <c:pt idx="18">
                  <c:v>860</c:v>
                </c:pt>
                <c:pt idx="19">
                  <c:v>721</c:v>
                </c:pt>
                <c:pt idx="20">
                  <c:v>754</c:v>
                </c:pt>
                <c:pt idx="21">
                  <c:v>775</c:v>
                </c:pt>
                <c:pt idx="22">
                  <c:v>723</c:v>
                </c:pt>
                <c:pt idx="23">
                  <c:v>779</c:v>
                </c:pt>
                <c:pt idx="24">
                  <c:v>943</c:v>
                </c:pt>
                <c:pt idx="25">
                  <c:v>827</c:v>
                </c:pt>
                <c:pt idx="26">
                  <c:v>625</c:v>
                </c:pt>
                <c:pt idx="27">
                  <c:v>918</c:v>
                </c:pt>
              </c:numCache>
            </c:numRef>
          </c:val>
          <c:smooth val="0"/>
        </c:ser>
        <c:marker val="1"/>
        <c:axId val="49023747"/>
        <c:axId val="38560540"/>
      </c:lineChart>
      <c:catAx>
        <c:axId val="4902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8560540"/>
        <c:crosses val="autoZero"/>
        <c:auto val="1"/>
        <c:lblOffset val="100"/>
        <c:noMultiLvlLbl val="0"/>
      </c:catAx>
      <c:valAx>
        <c:axId val="38560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902374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92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U.S. Total Crude Oil Drilling Footage</a:t>
            </a:r>
            <a:r>
              <a:rPr lang="en-US" cap="none" sz="1575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900" b="1" i="0" u="none" baseline="0">
                <a:latin typeface="Helv"/>
                <a:ea typeface="Helv"/>
                <a:cs typeface="Helv"/>
              </a:rPr>
              <a:t> in thousands of feet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475"/>
          <c:y val="0.19"/>
          <c:w val="0.95175"/>
          <c:h val="0.70875"/>
        </c:manualLayout>
      </c:layout>
      <c:lineChart>
        <c:grouping val="standard"/>
        <c:varyColors val="0"/>
        <c:ser>
          <c:idx val="1"/>
          <c:order val="0"/>
          <c:tx>
            <c:strRef>
              <c:f>Sheet1!$E$301</c:f>
              <c:strCache>
                <c:ptCount val="1"/>
                <c:pt idx="0">
                  <c:v>Total Footage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Total Footage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Sheet1!$C$302:$C$339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Sheet1!$E$302:$E$339</c:f>
              <c:numCache>
                <c:ptCount val="38"/>
                <c:pt idx="0">
                  <c:v>138223</c:v>
                </c:pt>
                <c:pt idx="1">
                  <c:v>153374</c:v>
                </c:pt>
                <c:pt idx="2">
                  <c:v>180494</c:v>
                </c:pt>
                <c:pt idx="3">
                  <c:v>186982</c:v>
                </c:pt>
                <c:pt idx="4">
                  <c:v>215866</c:v>
                </c:pt>
                <c:pt idx="5">
                  <c:v>238669</c:v>
                </c:pt>
                <c:pt idx="6">
                  <c:v>244798</c:v>
                </c:pt>
                <c:pt idx="7">
                  <c:v>314654</c:v>
                </c:pt>
                <c:pt idx="8">
                  <c:v>413112</c:v>
                </c:pt>
                <c:pt idx="9">
                  <c:v>378295</c:v>
                </c:pt>
                <c:pt idx="10">
                  <c:v>317986</c:v>
                </c:pt>
                <c:pt idx="11">
                  <c:v>371392</c:v>
                </c:pt>
                <c:pt idx="12">
                  <c:v>313045</c:v>
                </c:pt>
                <c:pt idx="13">
                  <c:v>181856</c:v>
                </c:pt>
                <c:pt idx="14">
                  <c:v>162178</c:v>
                </c:pt>
                <c:pt idx="15">
                  <c:v>156354</c:v>
                </c:pt>
                <c:pt idx="16">
                  <c:v>134439</c:v>
                </c:pt>
                <c:pt idx="17">
                  <c:v>153702</c:v>
                </c:pt>
                <c:pt idx="18">
                  <c:v>143021</c:v>
                </c:pt>
                <c:pt idx="19">
                  <c:v>121124</c:v>
                </c:pt>
                <c:pt idx="20">
                  <c:v>135118</c:v>
                </c:pt>
                <c:pt idx="21">
                  <c:v>124809</c:v>
                </c:pt>
                <c:pt idx="22">
                  <c:v>117832</c:v>
                </c:pt>
                <c:pt idx="23">
                  <c:v>129045</c:v>
                </c:pt>
                <c:pt idx="24">
                  <c:v>159661</c:v>
                </c:pt>
                <c:pt idx="25">
                  <c:v>149627</c:v>
                </c:pt>
                <c:pt idx="26">
                  <c:v>108054</c:v>
                </c:pt>
                <c:pt idx="27">
                  <c:v>167027</c:v>
                </c:pt>
              </c:numCache>
            </c:numRef>
          </c:val>
          <c:smooth val="0"/>
        </c:ser>
        <c:marker val="1"/>
        <c:axId val="11500541"/>
        <c:axId val="36396006"/>
      </c:lineChart>
      <c:catAx>
        <c:axId val="1150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6396006"/>
        <c:crosses val="autoZero"/>
        <c:auto val="1"/>
        <c:lblOffset val="100"/>
        <c:noMultiLvlLbl val="0"/>
      </c:catAx>
      <c:valAx>
        <c:axId val="36396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150054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91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75" b="0" i="0" u="none" baseline="0">
          <a:latin typeface="Helv"/>
          <a:ea typeface="Helv"/>
          <a:cs typeface="Helv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Total Footage per Rig and Well</a:t>
            </a:r>
            <a:r>
              <a:rPr lang="en-US" cap="none" sz="16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950" b="1" i="0" u="none" baseline="0">
                <a:latin typeface="Helv"/>
                <a:ea typeface="Helv"/>
                <a:cs typeface="Helv"/>
              </a:rPr>
              <a:t>in thousands of feet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25"/>
          <c:y val="0.17275"/>
          <c:w val="0.97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Sheet1!$G$301</c:f>
              <c:strCache>
                <c:ptCount val="1"/>
                <c:pt idx="0">
                  <c:v>Footage per well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Sheet1!$C$302:$C$339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Sheet1!$G$302:$G$339</c:f>
              <c:numCache>
                <c:ptCount val="38"/>
                <c:pt idx="0">
                  <c:v>5.040955506929249</c:v>
                </c:pt>
                <c:pt idx="1">
                  <c:v>4.6615403318947175</c:v>
                </c:pt>
                <c:pt idx="2">
                  <c:v>4.661398207690917</c:v>
                </c:pt>
                <c:pt idx="3">
                  <c:v>4.576722555378779</c:v>
                </c:pt>
                <c:pt idx="4">
                  <c:v>4.707886242693885</c:v>
                </c:pt>
                <c:pt idx="5">
                  <c:v>4.759577226044471</c:v>
                </c:pt>
                <c:pt idx="6">
                  <c:v>4.689257528158762</c:v>
                </c:pt>
                <c:pt idx="7">
                  <c:v>4.456224330831327</c:v>
                </c:pt>
                <c:pt idx="8">
                  <c:v>4.512271580396055</c:v>
                </c:pt>
                <c:pt idx="9">
                  <c:v>4.482327570885221</c:v>
                </c:pt>
                <c:pt idx="10">
                  <c:v>4.19301923863022</c:v>
                </c:pt>
                <c:pt idx="11">
                  <c:v>4.348190556472668</c:v>
                </c:pt>
                <c:pt idx="12">
                  <c:v>4.4503283955531545</c:v>
                </c:pt>
                <c:pt idx="13">
                  <c:v>4.5135638231863195</c:v>
                </c:pt>
                <c:pt idx="14">
                  <c:v>4.590246525713963</c:v>
                </c:pt>
                <c:pt idx="15">
                  <c:v>4.850893521965748</c:v>
                </c:pt>
                <c:pt idx="16">
                  <c:v>4.813254090437149</c:v>
                </c:pt>
                <c:pt idx="17">
                  <c:v>4.870923783869435</c:v>
                </c:pt>
                <c:pt idx="18">
                  <c:v>4.950193825280355</c:v>
                </c:pt>
                <c:pt idx="19">
                  <c:v>5.247097556749264</c:v>
                </c:pt>
                <c:pt idx="20">
                  <c:v>5.458872010342598</c:v>
                </c:pt>
                <c:pt idx="21">
                  <c:v>5.787304089770935</c:v>
                </c:pt>
                <c:pt idx="22">
                  <c:v>5.59612462006079</c:v>
                </c:pt>
                <c:pt idx="23">
                  <c:v>5.63564503450083</c:v>
                </c:pt>
                <c:pt idx="24">
                  <c:v>5.813253231385399</c:v>
                </c:pt>
                <c:pt idx="25">
                  <c:v>6.212971805838143</c:v>
                </c:pt>
                <c:pt idx="26">
                  <c:v>5.943564356435644</c:v>
                </c:pt>
                <c:pt idx="27">
                  <c:v>6.64387430389817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Sheet1!$H$301</c:f>
              <c:strCache>
                <c:ptCount val="1"/>
                <c:pt idx="0">
                  <c:v>Footage per rig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Footage per rig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Sheet1!$C$302:$C$339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Sheet1!$H$302:$H$339</c:f>
              <c:numCache>
                <c:ptCount val="38"/>
                <c:pt idx="0">
                  <c:v>115.76465661641541</c:v>
                </c:pt>
                <c:pt idx="1">
                  <c:v>104.19429347826087</c:v>
                </c:pt>
                <c:pt idx="2">
                  <c:v>108.73132530120482</c:v>
                </c:pt>
                <c:pt idx="3">
                  <c:v>112.77563329312424</c:v>
                </c:pt>
                <c:pt idx="4">
                  <c:v>107.87906046976512</c:v>
                </c:pt>
                <c:pt idx="5">
                  <c:v>105.65250110668437</c:v>
                </c:pt>
                <c:pt idx="6">
                  <c:v>112.44740468534681</c:v>
                </c:pt>
                <c:pt idx="7">
                  <c:v>108.16569267789619</c:v>
                </c:pt>
                <c:pt idx="8">
                  <c:v>104.05843828715365</c:v>
                </c:pt>
                <c:pt idx="9">
                  <c:v>121.8341384863124</c:v>
                </c:pt>
                <c:pt idx="10">
                  <c:v>142.4668458781362</c:v>
                </c:pt>
                <c:pt idx="11">
                  <c:v>152.96210873146623</c:v>
                </c:pt>
                <c:pt idx="12">
                  <c:v>158.10353535353536</c:v>
                </c:pt>
                <c:pt idx="13">
                  <c:v>188.64730290456433</c:v>
                </c:pt>
                <c:pt idx="14">
                  <c:v>173.26709401709402</c:v>
                </c:pt>
                <c:pt idx="15">
                  <c:v>167.0448717948718</c:v>
                </c:pt>
                <c:pt idx="16">
                  <c:v>154.7054085155351</c:v>
                </c:pt>
                <c:pt idx="17">
                  <c:v>152.180198019802</c:v>
                </c:pt>
                <c:pt idx="18">
                  <c:v>166.30348837209303</c:v>
                </c:pt>
                <c:pt idx="19">
                  <c:v>167.99445214979195</c:v>
                </c:pt>
                <c:pt idx="20">
                  <c:v>179.20159151193633</c:v>
                </c:pt>
                <c:pt idx="21">
                  <c:v>161.04387096774192</c:v>
                </c:pt>
                <c:pt idx="22">
                  <c:v>162.97648686030428</c:v>
                </c:pt>
                <c:pt idx="23">
                  <c:v>165.65468549422337</c:v>
                </c:pt>
                <c:pt idx="24">
                  <c:v>169.3117709437964</c:v>
                </c:pt>
                <c:pt idx="25">
                  <c:v>180.92744860943168</c:v>
                </c:pt>
                <c:pt idx="26">
                  <c:v>172.8864</c:v>
                </c:pt>
                <c:pt idx="27">
                  <c:v>181.94662309368192</c:v>
                </c:pt>
              </c:numCache>
            </c:numRef>
          </c:val>
          <c:smooth val="0"/>
        </c:ser>
        <c:marker val="1"/>
        <c:axId val="59128599"/>
        <c:axId val="62395344"/>
      </c:lineChart>
      <c:catAx>
        <c:axId val="59128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2395344"/>
        <c:crosses val="autoZero"/>
        <c:auto val="1"/>
        <c:lblOffset val="100"/>
        <c:noMultiLvlLbl val="0"/>
      </c:catAx>
      <c:valAx>
        <c:axId val="6239534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912859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575"/>
          <c:y val="0.91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Electricity Net Generation at Electric Utilities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265"/>
          <c:w val="0.969"/>
          <c:h val="0.7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Sheet1!$C$343</c:f>
              <c:strCache>
                <c:ptCount val="1"/>
                <c:pt idx="0">
                  <c:v>Coal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Sheet1!$B$344:$B$381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Sheet1!$C$344:$C$381</c:f>
              <c:numCache>
                <c:ptCount val="38"/>
                <c:pt idx="0">
                  <c:v>847651</c:v>
                </c:pt>
                <c:pt idx="1">
                  <c:v>828433</c:v>
                </c:pt>
                <c:pt idx="2">
                  <c:v>852786</c:v>
                </c:pt>
                <c:pt idx="3">
                  <c:v>944391</c:v>
                </c:pt>
                <c:pt idx="4">
                  <c:v>985219</c:v>
                </c:pt>
                <c:pt idx="5">
                  <c:v>975742</c:v>
                </c:pt>
                <c:pt idx="6">
                  <c:v>1075037</c:v>
                </c:pt>
                <c:pt idx="7">
                  <c:v>1161562</c:v>
                </c:pt>
                <c:pt idx="8">
                  <c:v>1203203</c:v>
                </c:pt>
                <c:pt idx="9">
                  <c:v>1192004</c:v>
                </c:pt>
                <c:pt idx="10">
                  <c:v>1259424</c:v>
                </c:pt>
                <c:pt idx="11">
                  <c:v>1341681</c:v>
                </c:pt>
                <c:pt idx="12">
                  <c:v>1402128</c:v>
                </c:pt>
                <c:pt idx="13">
                  <c:v>1385831</c:v>
                </c:pt>
                <c:pt idx="14">
                  <c:v>1463781</c:v>
                </c:pt>
                <c:pt idx="15">
                  <c:v>1540653</c:v>
                </c:pt>
                <c:pt idx="16">
                  <c:v>1553661</c:v>
                </c:pt>
                <c:pt idx="17">
                  <c:v>1559606</c:v>
                </c:pt>
                <c:pt idx="18">
                  <c:v>1551167</c:v>
                </c:pt>
                <c:pt idx="19">
                  <c:v>1575895</c:v>
                </c:pt>
                <c:pt idx="20">
                  <c:v>1639151</c:v>
                </c:pt>
                <c:pt idx="21">
                  <c:v>1635493</c:v>
                </c:pt>
                <c:pt idx="22">
                  <c:v>1652914</c:v>
                </c:pt>
                <c:pt idx="23">
                  <c:v>1737453</c:v>
                </c:pt>
                <c:pt idx="24">
                  <c:v>1787806</c:v>
                </c:pt>
                <c:pt idx="25">
                  <c:v>1807480</c:v>
                </c:pt>
                <c:pt idx="26">
                  <c:v>1767679</c:v>
                </c:pt>
                <c:pt idx="27">
                  <c:v>1691592</c:v>
                </c:pt>
              </c:numCache>
            </c:numRef>
          </c:val>
        </c:ser>
        <c:ser>
          <c:idx val="1"/>
          <c:order val="1"/>
          <c:tx>
            <c:strRef>
              <c:f>Sheet1!$D$343</c:f>
              <c:strCache>
                <c:ptCount val="1"/>
                <c:pt idx="0">
                  <c:v>Petroleum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Sheet1!$B$344:$B$381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Sheet1!$D$344:$D$381</c:f>
              <c:numCache>
                <c:ptCount val="38"/>
                <c:pt idx="0">
                  <c:v>314343</c:v>
                </c:pt>
                <c:pt idx="1">
                  <c:v>300931</c:v>
                </c:pt>
                <c:pt idx="2">
                  <c:v>289095</c:v>
                </c:pt>
                <c:pt idx="3">
                  <c:v>319988</c:v>
                </c:pt>
                <c:pt idx="4">
                  <c:v>358179</c:v>
                </c:pt>
                <c:pt idx="5">
                  <c:v>365060</c:v>
                </c:pt>
                <c:pt idx="6">
                  <c:v>303525</c:v>
                </c:pt>
                <c:pt idx="7">
                  <c:v>245994</c:v>
                </c:pt>
                <c:pt idx="8">
                  <c:v>206421</c:v>
                </c:pt>
                <c:pt idx="9">
                  <c:v>146797</c:v>
                </c:pt>
                <c:pt idx="10">
                  <c:v>144499</c:v>
                </c:pt>
                <c:pt idx="11">
                  <c:v>119808</c:v>
                </c:pt>
                <c:pt idx="12">
                  <c:v>100202</c:v>
                </c:pt>
                <c:pt idx="13">
                  <c:v>136585</c:v>
                </c:pt>
                <c:pt idx="14">
                  <c:v>118493</c:v>
                </c:pt>
                <c:pt idx="15">
                  <c:v>148900</c:v>
                </c:pt>
                <c:pt idx="16">
                  <c:v>158318</c:v>
                </c:pt>
                <c:pt idx="17">
                  <c:v>117017</c:v>
                </c:pt>
                <c:pt idx="18">
                  <c:v>111463</c:v>
                </c:pt>
                <c:pt idx="19">
                  <c:v>88916</c:v>
                </c:pt>
                <c:pt idx="20">
                  <c:v>99539</c:v>
                </c:pt>
                <c:pt idx="21">
                  <c:v>91039</c:v>
                </c:pt>
                <c:pt idx="22">
                  <c:v>60844</c:v>
                </c:pt>
                <c:pt idx="23">
                  <c:v>67346</c:v>
                </c:pt>
                <c:pt idx="24">
                  <c:v>77753</c:v>
                </c:pt>
                <c:pt idx="25">
                  <c:v>110158</c:v>
                </c:pt>
                <c:pt idx="26">
                  <c:v>86929</c:v>
                </c:pt>
                <c:pt idx="27">
                  <c:v>67462.8</c:v>
                </c:pt>
              </c:numCache>
            </c:numRef>
          </c:val>
        </c:ser>
        <c:ser>
          <c:idx val="2"/>
          <c:order val="2"/>
          <c:tx>
            <c:strRef>
              <c:f>Sheet1!$E$343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Sheet1!$B$344:$B$381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Sheet1!$E$344:$E$381</c:f>
              <c:numCache>
                <c:ptCount val="38"/>
                <c:pt idx="0">
                  <c:v>340858</c:v>
                </c:pt>
                <c:pt idx="1">
                  <c:v>320065</c:v>
                </c:pt>
                <c:pt idx="2">
                  <c:v>299778</c:v>
                </c:pt>
                <c:pt idx="3">
                  <c:v>294624</c:v>
                </c:pt>
                <c:pt idx="4">
                  <c:v>305505</c:v>
                </c:pt>
                <c:pt idx="5">
                  <c:v>305391</c:v>
                </c:pt>
                <c:pt idx="6">
                  <c:v>329485</c:v>
                </c:pt>
                <c:pt idx="7">
                  <c:v>346240</c:v>
                </c:pt>
                <c:pt idx="8">
                  <c:v>345777</c:v>
                </c:pt>
                <c:pt idx="9">
                  <c:v>305260</c:v>
                </c:pt>
                <c:pt idx="10">
                  <c:v>274098</c:v>
                </c:pt>
                <c:pt idx="11">
                  <c:v>297394</c:v>
                </c:pt>
                <c:pt idx="12">
                  <c:v>291946</c:v>
                </c:pt>
                <c:pt idx="13">
                  <c:v>248508</c:v>
                </c:pt>
                <c:pt idx="14">
                  <c:v>272621</c:v>
                </c:pt>
                <c:pt idx="15">
                  <c:v>252801</c:v>
                </c:pt>
                <c:pt idx="16">
                  <c:v>266598</c:v>
                </c:pt>
                <c:pt idx="17">
                  <c:v>264089</c:v>
                </c:pt>
                <c:pt idx="18">
                  <c:v>264172</c:v>
                </c:pt>
                <c:pt idx="19">
                  <c:v>263872</c:v>
                </c:pt>
                <c:pt idx="20">
                  <c:v>258915</c:v>
                </c:pt>
                <c:pt idx="21">
                  <c:v>291115</c:v>
                </c:pt>
                <c:pt idx="22">
                  <c:v>307306</c:v>
                </c:pt>
                <c:pt idx="23">
                  <c:v>262730</c:v>
                </c:pt>
                <c:pt idx="24">
                  <c:v>283625</c:v>
                </c:pt>
                <c:pt idx="25">
                  <c:v>309222</c:v>
                </c:pt>
                <c:pt idx="26">
                  <c:v>296381</c:v>
                </c:pt>
                <c:pt idx="27">
                  <c:v>152738.4</c:v>
                </c:pt>
              </c:numCache>
            </c:numRef>
          </c:val>
        </c:ser>
        <c:ser>
          <c:idx val="3"/>
          <c:order val="3"/>
          <c:tx>
            <c:strRef>
              <c:f>Sheet1!$F$343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Sheet1!$B$344:$B$381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Sheet1!$F$344:$F$381</c:f>
              <c:numCache>
                <c:ptCount val="38"/>
                <c:pt idx="0">
                  <c:v>83479</c:v>
                </c:pt>
                <c:pt idx="1">
                  <c:v>113976</c:v>
                </c:pt>
                <c:pt idx="2">
                  <c:v>172505</c:v>
                </c:pt>
                <c:pt idx="3">
                  <c:v>191104</c:v>
                </c:pt>
                <c:pt idx="4">
                  <c:v>250883</c:v>
                </c:pt>
                <c:pt idx="5">
                  <c:v>276403</c:v>
                </c:pt>
                <c:pt idx="6">
                  <c:v>255155</c:v>
                </c:pt>
                <c:pt idx="7">
                  <c:v>251116</c:v>
                </c:pt>
                <c:pt idx="8">
                  <c:v>272674</c:v>
                </c:pt>
                <c:pt idx="9">
                  <c:v>282773</c:v>
                </c:pt>
                <c:pt idx="10">
                  <c:v>293677</c:v>
                </c:pt>
                <c:pt idx="11">
                  <c:v>327634</c:v>
                </c:pt>
                <c:pt idx="12">
                  <c:v>383691</c:v>
                </c:pt>
                <c:pt idx="13">
                  <c:v>414038</c:v>
                </c:pt>
                <c:pt idx="14">
                  <c:v>455270</c:v>
                </c:pt>
                <c:pt idx="15">
                  <c:v>526973</c:v>
                </c:pt>
                <c:pt idx="16">
                  <c:v>529355</c:v>
                </c:pt>
                <c:pt idx="17">
                  <c:v>576862</c:v>
                </c:pt>
                <c:pt idx="18">
                  <c:v>612565</c:v>
                </c:pt>
                <c:pt idx="19">
                  <c:v>618776</c:v>
                </c:pt>
                <c:pt idx="20">
                  <c:v>610291</c:v>
                </c:pt>
                <c:pt idx="21">
                  <c:v>640440</c:v>
                </c:pt>
                <c:pt idx="22">
                  <c:v>673402</c:v>
                </c:pt>
                <c:pt idx="23">
                  <c:v>674729</c:v>
                </c:pt>
                <c:pt idx="24">
                  <c:v>628644</c:v>
                </c:pt>
                <c:pt idx="25">
                  <c:v>673702</c:v>
                </c:pt>
                <c:pt idx="26">
                  <c:v>725036</c:v>
                </c:pt>
                <c:pt idx="27">
                  <c:v>712062</c:v>
                </c:pt>
              </c:numCache>
            </c:numRef>
          </c:val>
        </c:ser>
        <c:ser>
          <c:idx val="4"/>
          <c:order val="4"/>
          <c:tx>
            <c:strRef>
              <c:f>Sheet1!$G$343</c:f>
              <c:strCache>
                <c:ptCount val="1"/>
                <c:pt idx="0">
                  <c:v>HydroStorage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Sheet1!$B$344:$B$381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Sheet1!$G$344:$G$381</c:f>
              <c:numCache>
                <c:ptCount val="38"/>
                <c:pt idx="17">
                  <c:v>-3508</c:v>
                </c:pt>
                <c:pt idx="18">
                  <c:v>-4541</c:v>
                </c:pt>
                <c:pt idx="19">
                  <c:v>4177</c:v>
                </c:pt>
                <c:pt idx="20">
                  <c:v>4036</c:v>
                </c:pt>
                <c:pt idx="21">
                  <c:v>-3378</c:v>
                </c:pt>
                <c:pt idx="22">
                  <c:v>-2725</c:v>
                </c:pt>
                <c:pt idx="23">
                  <c:v>3088</c:v>
                </c:pt>
                <c:pt idx="24">
                  <c:v>-4041</c:v>
                </c:pt>
                <c:pt idx="25">
                  <c:v>-4441</c:v>
                </c:pt>
                <c:pt idx="26">
                  <c:v>-5982</c:v>
                </c:pt>
                <c:pt idx="27">
                  <c:v>-5402.4</c:v>
                </c:pt>
              </c:numCache>
            </c:numRef>
          </c:val>
        </c:ser>
        <c:ser>
          <c:idx val="5"/>
          <c:order val="5"/>
          <c:tx>
            <c:strRef>
              <c:f>Sheet1!$H$343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Sheet1!$B$344:$B$381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Sheet1!$H$344:$H$381</c:f>
              <c:numCache>
                <c:ptCount val="38"/>
                <c:pt idx="0">
                  <c:v>272083</c:v>
                </c:pt>
                <c:pt idx="1">
                  <c:v>301032</c:v>
                </c:pt>
                <c:pt idx="2">
                  <c:v>300047</c:v>
                </c:pt>
                <c:pt idx="3">
                  <c:v>283707</c:v>
                </c:pt>
                <c:pt idx="4">
                  <c:v>220475</c:v>
                </c:pt>
                <c:pt idx="5">
                  <c:v>280419</c:v>
                </c:pt>
                <c:pt idx="6">
                  <c:v>279783</c:v>
                </c:pt>
                <c:pt idx="7">
                  <c:v>276021</c:v>
                </c:pt>
                <c:pt idx="8">
                  <c:v>260684</c:v>
                </c:pt>
                <c:pt idx="9">
                  <c:v>309213</c:v>
                </c:pt>
                <c:pt idx="10">
                  <c:v>332130</c:v>
                </c:pt>
                <c:pt idx="11">
                  <c:v>321150</c:v>
                </c:pt>
                <c:pt idx="12">
                  <c:v>281149</c:v>
                </c:pt>
                <c:pt idx="13">
                  <c:v>290844</c:v>
                </c:pt>
                <c:pt idx="14">
                  <c:v>249695</c:v>
                </c:pt>
                <c:pt idx="15">
                  <c:v>222940</c:v>
                </c:pt>
                <c:pt idx="16">
                  <c:v>265063</c:v>
                </c:pt>
                <c:pt idx="17">
                  <c:v>283434</c:v>
                </c:pt>
                <c:pt idx="18">
                  <c:v>280061</c:v>
                </c:pt>
                <c:pt idx="19">
                  <c:v>243736</c:v>
                </c:pt>
                <c:pt idx="20">
                  <c:v>269098</c:v>
                </c:pt>
                <c:pt idx="21">
                  <c:v>247071</c:v>
                </c:pt>
                <c:pt idx="22">
                  <c:v>296378</c:v>
                </c:pt>
                <c:pt idx="23">
                  <c:v>331058</c:v>
                </c:pt>
                <c:pt idx="24">
                  <c:v>341273</c:v>
                </c:pt>
                <c:pt idx="25">
                  <c:v>308844</c:v>
                </c:pt>
                <c:pt idx="26">
                  <c:v>299914</c:v>
                </c:pt>
                <c:pt idx="27">
                  <c:v>217239</c:v>
                </c:pt>
              </c:numCache>
            </c:numRef>
          </c:val>
        </c:ser>
        <c:ser>
          <c:idx val="6"/>
          <c:order val="6"/>
          <c:tx>
            <c:strRef>
              <c:f>Sheet1!$I$343</c:f>
              <c:strCache>
                <c:ptCount val="1"/>
                <c:pt idx="0">
                  <c:v>Geothermal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Sheet1!$B$344:$B$381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Sheet1!$I$344:$I$381</c:f>
              <c:numCache>
                <c:ptCount val="38"/>
                <c:pt idx="0">
                  <c:v>1966</c:v>
                </c:pt>
                <c:pt idx="1">
                  <c:v>2453</c:v>
                </c:pt>
                <c:pt idx="2">
                  <c:v>3246</c:v>
                </c:pt>
                <c:pt idx="3">
                  <c:v>3616</c:v>
                </c:pt>
                <c:pt idx="4">
                  <c:v>3582</c:v>
                </c:pt>
                <c:pt idx="5">
                  <c:v>2978</c:v>
                </c:pt>
                <c:pt idx="6">
                  <c:v>3889</c:v>
                </c:pt>
                <c:pt idx="7">
                  <c:v>5073</c:v>
                </c:pt>
                <c:pt idx="8">
                  <c:v>5686</c:v>
                </c:pt>
                <c:pt idx="9">
                  <c:v>4843</c:v>
                </c:pt>
                <c:pt idx="10">
                  <c:v>6075</c:v>
                </c:pt>
                <c:pt idx="11">
                  <c:v>7741</c:v>
                </c:pt>
                <c:pt idx="12">
                  <c:v>9325</c:v>
                </c:pt>
                <c:pt idx="13">
                  <c:v>10308</c:v>
                </c:pt>
                <c:pt idx="14">
                  <c:v>10775</c:v>
                </c:pt>
                <c:pt idx="15">
                  <c:v>10300</c:v>
                </c:pt>
                <c:pt idx="16">
                  <c:v>9342</c:v>
                </c:pt>
                <c:pt idx="17">
                  <c:v>8581</c:v>
                </c:pt>
                <c:pt idx="18">
                  <c:v>8087</c:v>
                </c:pt>
                <c:pt idx="19">
                  <c:v>8104</c:v>
                </c:pt>
                <c:pt idx="20">
                  <c:v>7571</c:v>
                </c:pt>
                <c:pt idx="21">
                  <c:v>6941</c:v>
                </c:pt>
                <c:pt idx="22">
                  <c:v>4745</c:v>
                </c:pt>
                <c:pt idx="23">
                  <c:v>5234</c:v>
                </c:pt>
                <c:pt idx="24">
                  <c:v>5469</c:v>
                </c:pt>
                <c:pt idx="25">
                  <c:v>5176</c:v>
                </c:pt>
                <c:pt idx="26">
                  <c:v>1698</c:v>
                </c:pt>
                <c:pt idx="27">
                  <c:v>151.2</c:v>
                </c:pt>
              </c:numCache>
            </c:numRef>
          </c:val>
        </c:ser>
        <c:ser>
          <c:idx val="7"/>
          <c:order val="7"/>
          <c:tx>
            <c:strRef>
              <c:f>Sheet1!$J$343</c:f>
              <c:strCache>
                <c:ptCount val="1"/>
                <c:pt idx="0">
                  <c:v>Wood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Sheet1!$B$344:$B$381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Sheet1!$J$344:$J$381</c:f>
              <c:numCache>
                <c:ptCount val="38"/>
                <c:pt idx="0">
                  <c:v>130</c:v>
                </c:pt>
                <c:pt idx="1">
                  <c:v>68</c:v>
                </c:pt>
                <c:pt idx="2">
                  <c:v>18</c:v>
                </c:pt>
                <c:pt idx="3">
                  <c:v>84</c:v>
                </c:pt>
                <c:pt idx="4">
                  <c:v>308</c:v>
                </c:pt>
                <c:pt idx="5">
                  <c:v>197</c:v>
                </c:pt>
                <c:pt idx="6">
                  <c:v>300</c:v>
                </c:pt>
                <c:pt idx="7">
                  <c:v>275</c:v>
                </c:pt>
                <c:pt idx="8">
                  <c:v>245</c:v>
                </c:pt>
                <c:pt idx="9">
                  <c:v>196</c:v>
                </c:pt>
                <c:pt idx="10">
                  <c:v>216</c:v>
                </c:pt>
                <c:pt idx="11">
                  <c:v>461</c:v>
                </c:pt>
                <c:pt idx="12">
                  <c:v>743</c:v>
                </c:pt>
                <c:pt idx="13">
                  <c:v>492</c:v>
                </c:pt>
                <c:pt idx="14">
                  <c:v>783</c:v>
                </c:pt>
                <c:pt idx="15">
                  <c:v>936</c:v>
                </c:pt>
                <c:pt idx="16">
                  <c:v>972</c:v>
                </c:pt>
                <c:pt idx="17">
                  <c:v>810</c:v>
                </c:pt>
                <c:pt idx="18">
                  <c:v>732</c:v>
                </c:pt>
                <c:pt idx="19">
                  <c:v>816</c:v>
                </c:pt>
                <c:pt idx="20">
                  <c:v>890</c:v>
                </c:pt>
                <c:pt idx="21">
                  <c:v>765</c:v>
                </c:pt>
                <c:pt idx="22">
                  <c:v>633</c:v>
                </c:pt>
                <c:pt idx="23">
                  <c:v>788</c:v>
                </c:pt>
                <c:pt idx="24">
                  <c:v>739</c:v>
                </c:pt>
                <c:pt idx="25">
                  <c:v>719</c:v>
                </c:pt>
                <c:pt idx="26">
                  <c:v>684</c:v>
                </c:pt>
                <c:pt idx="27">
                  <c:v>681.6</c:v>
                </c:pt>
              </c:numCache>
            </c:numRef>
          </c:val>
        </c:ser>
        <c:ser>
          <c:idx val="8"/>
          <c:order val="8"/>
          <c:tx>
            <c:strRef>
              <c:f>Sheet1!$K$343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Sheet1!$B$344:$B$381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Sheet1!$K$344:$K$381</c:f>
              <c:numCache>
                <c:ptCount val="38"/>
                <c:pt idx="0">
                  <c:v>198</c:v>
                </c:pt>
                <c:pt idx="1">
                  <c:v>182</c:v>
                </c:pt>
                <c:pt idx="2">
                  <c:v>174</c:v>
                </c:pt>
                <c:pt idx="3">
                  <c:v>182</c:v>
                </c:pt>
                <c:pt idx="4">
                  <c:v>173</c:v>
                </c:pt>
                <c:pt idx="5">
                  <c:v>1490</c:v>
                </c:pt>
                <c:pt idx="6">
                  <c:v>198</c:v>
                </c:pt>
                <c:pt idx="7">
                  <c:v>158</c:v>
                </c:pt>
                <c:pt idx="8">
                  <c:v>123</c:v>
                </c:pt>
                <c:pt idx="9">
                  <c:v>125</c:v>
                </c:pt>
                <c:pt idx="10">
                  <c:v>163</c:v>
                </c:pt>
                <c:pt idx="11">
                  <c:v>425</c:v>
                </c:pt>
                <c:pt idx="12">
                  <c:v>640</c:v>
                </c:pt>
                <c:pt idx="13">
                  <c:v>685</c:v>
                </c:pt>
                <c:pt idx="14">
                  <c:v>694</c:v>
                </c:pt>
                <c:pt idx="15">
                  <c:v>738</c:v>
                </c:pt>
                <c:pt idx="16">
                  <c:v>993</c:v>
                </c:pt>
                <c:pt idx="17">
                  <c:v>1257</c:v>
                </c:pt>
                <c:pt idx="18">
                  <c:v>1314</c:v>
                </c:pt>
                <c:pt idx="19">
                  <c:v>1276</c:v>
                </c:pt>
                <c:pt idx="20">
                  <c:v>1100</c:v>
                </c:pt>
                <c:pt idx="21">
                  <c:v>1224</c:v>
                </c:pt>
                <c:pt idx="22">
                  <c:v>1016</c:v>
                </c:pt>
                <c:pt idx="23">
                  <c:v>1179</c:v>
                </c:pt>
                <c:pt idx="24">
                  <c:v>1244</c:v>
                </c:pt>
                <c:pt idx="25">
                  <c:v>1305</c:v>
                </c:pt>
                <c:pt idx="26">
                  <c:v>1307</c:v>
                </c:pt>
                <c:pt idx="27">
                  <c:v>1350</c:v>
                </c:pt>
              </c:numCache>
            </c:numRef>
          </c:val>
        </c:ser>
        <c:ser>
          <c:idx val="9"/>
          <c:order val="9"/>
          <c:tx>
            <c:strRef>
              <c:f>Sheet1!$L$343</c:f>
              <c:strCache>
                <c:ptCount val="1"/>
                <c:pt idx="0">
                  <c:v>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Sheet1!$B$344:$B$381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Sheet1!$L$344:$L$381</c:f>
              <c:numCache>
                <c:ptCount val="38"/>
                <c:pt idx="11">
                  <c:v>3</c:v>
                </c:pt>
                <c:pt idx="12">
                  <c:v>12</c:v>
                </c:pt>
                <c:pt idx="13">
                  <c:v>16</c:v>
                </c:pt>
                <c:pt idx="14">
                  <c:v>18</c:v>
                </c:pt>
                <c:pt idx="15">
                  <c:v>14</c:v>
                </c:pt>
                <c:pt idx="16">
                  <c:v>10</c:v>
                </c:pt>
                <c:pt idx="22">
                  <c:v>11</c:v>
                </c:pt>
                <c:pt idx="23">
                  <c:v>10</c:v>
                </c:pt>
                <c:pt idx="24">
                  <c:v>6</c:v>
                </c:pt>
                <c:pt idx="25">
                  <c:v>3</c:v>
                </c:pt>
                <c:pt idx="26">
                  <c:v>23</c:v>
                </c:pt>
                <c:pt idx="27">
                  <c:v>20.4</c:v>
                </c:pt>
              </c:numCache>
            </c:numRef>
          </c:val>
        </c:ser>
        <c:ser>
          <c:idx val="10"/>
          <c:order val="10"/>
          <c:tx>
            <c:strRef>
              <c:f>Sheet1!$M$343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Sheet1!$B$344:$B$381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Sheet1!$M$344:$M$381</c:f>
              <c:numCache>
                <c:ptCount val="38"/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</c:ser>
        <c:overlap val="100"/>
        <c:gapWidth val="0"/>
        <c:axId val="24687185"/>
        <c:axId val="20858074"/>
      </c:barChart>
      <c:catAx>
        <c:axId val="24687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8074"/>
        <c:crosses val="autoZero"/>
        <c:auto val="1"/>
        <c:lblOffset val="100"/>
        <c:noMultiLvlLbl val="0"/>
      </c:catAx>
      <c:valAx>
        <c:axId val="20858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8718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908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25" b="0" i="0" u="none" baseline="0">
          <a:latin typeface="Helv"/>
          <a:ea typeface="Helv"/>
          <a:cs typeface="Helv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Electricity Generation at Nonutility Power Producers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575"/>
          <c:w val="0.98475"/>
          <c:h val="0.77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Sheet1!$C$384</c:f>
              <c:strCache>
                <c:ptCount val="1"/>
                <c:pt idx="0">
                  <c:v>Coal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Sheet1!$B$385:$B$422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Sheet1!$C$385:$C$422</c:f>
              <c:numCache>
                <c:ptCount val="38"/>
                <c:pt idx="16">
                  <c:v>30163</c:v>
                </c:pt>
                <c:pt idx="17">
                  <c:v>30699</c:v>
                </c:pt>
                <c:pt idx="18">
                  <c:v>38773</c:v>
                </c:pt>
                <c:pt idx="19">
                  <c:v>45189</c:v>
                </c:pt>
                <c:pt idx="20">
                  <c:v>50859</c:v>
                </c:pt>
                <c:pt idx="21">
                  <c:v>56197</c:v>
                </c:pt>
                <c:pt idx="22">
                  <c:v>57261</c:v>
                </c:pt>
                <c:pt idx="23">
                  <c:v>58257</c:v>
                </c:pt>
                <c:pt idx="24">
                  <c:v>56298</c:v>
                </c:pt>
                <c:pt idx="25">
                  <c:v>66466</c:v>
                </c:pt>
                <c:pt idx="26">
                  <c:v>113191</c:v>
                </c:pt>
                <c:pt idx="27">
                  <c:v>264772.8</c:v>
                </c:pt>
              </c:numCache>
            </c:numRef>
          </c:val>
        </c:ser>
        <c:ser>
          <c:idx val="1"/>
          <c:order val="1"/>
          <c:tx>
            <c:strRef>
              <c:f>Sheet1!$D$384</c:f>
              <c:strCache>
                <c:ptCount val="1"/>
                <c:pt idx="0">
                  <c:v>Petroleum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Sheet1!$B$385:$B$422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Sheet1!$D$385:$D$422</c:f>
              <c:numCache>
                <c:ptCount val="38"/>
                <c:pt idx="16">
                  <c:v>5543</c:v>
                </c:pt>
                <c:pt idx="17">
                  <c:v>7031</c:v>
                </c:pt>
                <c:pt idx="18">
                  <c:v>7494</c:v>
                </c:pt>
                <c:pt idx="19">
                  <c:v>10508</c:v>
                </c:pt>
                <c:pt idx="20">
                  <c:v>12814</c:v>
                </c:pt>
                <c:pt idx="21">
                  <c:v>14464</c:v>
                </c:pt>
                <c:pt idx="22">
                  <c:v>14416</c:v>
                </c:pt>
                <c:pt idx="23">
                  <c:v>14337</c:v>
                </c:pt>
                <c:pt idx="24">
                  <c:v>15272</c:v>
                </c:pt>
                <c:pt idx="25">
                  <c:v>16775</c:v>
                </c:pt>
                <c:pt idx="26">
                  <c:v>21299</c:v>
                </c:pt>
                <c:pt idx="27">
                  <c:v>43117.2</c:v>
                </c:pt>
              </c:numCache>
            </c:numRef>
          </c:val>
        </c:ser>
        <c:ser>
          <c:idx val="2"/>
          <c:order val="2"/>
          <c:tx>
            <c:strRef>
              <c:f>Sheet1!$E$384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Sheet1!$B$385:$B$422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Sheet1!$E$385:$E$422</c:f>
              <c:numCache>
                <c:ptCount val="38"/>
                <c:pt idx="16">
                  <c:v>97343</c:v>
                </c:pt>
                <c:pt idx="17">
                  <c:v>114253</c:v>
                </c:pt>
                <c:pt idx="18">
                  <c:v>128419</c:v>
                </c:pt>
                <c:pt idx="19">
                  <c:v>154429</c:v>
                </c:pt>
                <c:pt idx="20">
                  <c:v>169502</c:v>
                </c:pt>
                <c:pt idx="21">
                  <c:v>174813</c:v>
                </c:pt>
                <c:pt idx="22">
                  <c:v>191235</c:v>
                </c:pt>
                <c:pt idx="23">
                  <c:v>193106</c:v>
                </c:pt>
                <c:pt idx="24">
                  <c:v>201816</c:v>
                </c:pt>
                <c:pt idx="25">
                  <c:v>231415</c:v>
                </c:pt>
                <c:pt idx="26">
                  <c:v>286727</c:v>
                </c:pt>
                <c:pt idx="27">
                  <c:v>323696.39999999997</c:v>
                </c:pt>
              </c:numCache>
            </c:numRef>
          </c:val>
        </c:ser>
        <c:ser>
          <c:idx val="3"/>
          <c:order val="3"/>
          <c:tx>
            <c:strRef>
              <c:f>Sheet1!$F$384</c:f>
              <c:strCache>
                <c:ptCount val="1"/>
                <c:pt idx="0">
                  <c:v>OtherGas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Sheet1!$B$385:$B$422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Sheet1!$F$385:$F$422</c:f>
              <c:numCache>
                <c:ptCount val="38"/>
                <c:pt idx="21">
                  <c:v>12110</c:v>
                </c:pt>
                <c:pt idx="22">
                  <c:v>13506</c:v>
                </c:pt>
                <c:pt idx="23">
                  <c:v>14169</c:v>
                </c:pt>
                <c:pt idx="24">
                  <c:v>11175</c:v>
                </c:pt>
                <c:pt idx="25">
                  <c:v>8514</c:v>
                </c:pt>
                <c:pt idx="26">
                  <c:v>10549</c:v>
                </c:pt>
                <c:pt idx="27">
                  <c:v>11908.8</c:v>
                </c:pt>
              </c:numCache>
            </c:numRef>
          </c:val>
        </c:ser>
        <c:ser>
          <c:idx val="4"/>
          <c:order val="4"/>
          <c:tx>
            <c:strRef>
              <c:f>Sheet1!$G$384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Sheet1!$B$385:$B$422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Sheet1!$G$385:$G$422</c:f>
              <c:numCache>
                <c:ptCount val="38"/>
                <c:pt idx="16">
                  <c:v>47</c:v>
                </c:pt>
                <c:pt idx="17">
                  <c:v>113</c:v>
                </c:pt>
                <c:pt idx="18">
                  <c:v>77</c:v>
                </c:pt>
                <c:pt idx="19">
                  <c:v>65</c:v>
                </c:pt>
                <c:pt idx="20">
                  <c:v>76</c:v>
                </c:pt>
                <c:pt idx="21">
                  <c:v>52</c:v>
                </c:pt>
                <c:pt idx="26">
                  <c:v>3218</c:v>
                </c:pt>
                <c:pt idx="27">
                  <c:v>39661.2</c:v>
                </c:pt>
              </c:numCache>
            </c:numRef>
          </c:val>
        </c:ser>
        <c:ser>
          <c:idx val="5"/>
          <c:order val="5"/>
          <c:tx>
            <c:strRef>
              <c:f>Sheet1!$H$384</c:f>
              <c:strCache>
                <c:ptCount val="1"/>
                <c:pt idx="0">
                  <c:v>HydroStorage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Sheet1!$B$385:$B$422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Sheet1!$H$385:$H$422</c:f>
              <c:numCache>
                <c:ptCount val="38"/>
                <c:pt idx="26">
                  <c:v>-179</c:v>
                </c:pt>
                <c:pt idx="27">
                  <c:v>-195.6</c:v>
                </c:pt>
              </c:numCache>
            </c:numRef>
          </c:val>
        </c:ser>
        <c:ser>
          <c:idx val="6"/>
          <c:order val="6"/>
          <c:tx>
            <c:strRef>
              <c:f>Sheet1!$I$384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Sheet1!$B$385:$B$422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Sheet1!$I$385:$I$422</c:f>
              <c:numCache>
                <c:ptCount val="38"/>
                <c:pt idx="16">
                  <c:v>8602</c:v>
                </c:pt>
                <c:pt idx="17">
                  <c:v>9580</c:v>
                </c:pt>
                <c:pt idx="18">
                  <c:v>9446</c:v>
                </c:pt>
                <c:pt idx="19">
                  <c:v>9352</c:v>
                </c:pt>
                <c:pt idx="20">
                  <c:v>11396</c:v>
                </c:pt>
                <c:pt idx="21">
                  <c:v>13095</c:v>
                </c:pt>
                <c:pt idx="22">
                  <c:v>14628</c:v>
                </c:pt>
                <c:pt idx="23">
                  <c:v>16390</c:v>
                </c:pt>
                <c:pt idx="24">
                  <c:v>17673</c:v>
                </c:pt>
                <c:pt idx="25">
                  <c:v>14486</c:v>
                </c:pt>
                <c:pt idx="26">
                  <c:v>19631</c:v>
                </c:pt>
                <c:pt idx="27">
                  <c:v>17331.6</c:v>
                </c:pt>
              </c:numCache>
            </c:numRef>
          </c:val>
        </c:ser>
        <c:ser>
          <c:idx val="7"/>
          <c:order val="7"/>
          <c:tx>
            <c:strRef>
              <c:f>Sheet1!$J$384</c:f>
              <c:strCache>
                <c:ptCount val="1"/>
                <c:pt idx="0">
                  <c:v>Geothermal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Sheet1!$B$385:$B$422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Sheet1!$J$385:$J$422</c:f>
              <c:numCache>
                <c:ptCount val="38"/>
                <c:pt idx="16">
                  <c:v>5537</c:v>
                </c:pt>
                <c:pt idx="17">
                  <c:v>7207</c:v>
                </c:pt>
                <c:pt idx="18">
                  <c:v>7953</c:v>
                </c:pt>
                <c:pt idx="19">
                  <c:v>8318</c:v>
                </c:pt>
                <c:pt idx="20">
                  <c:v>9454</c:v>
                </c:pt>
                <c:pt idx="21">
                  <c:v>9816</c:v>
                </c:pt>
                <c:pt idx="22">
                  <c:v>9614</c:v>
                </c:pt>
                <c:pt idx="23">
                  <c:v>9892</c:v>
                </c:pt>
                <c:pt idx="24">
                  <c:v>9100</c:v>
                </c:pt>
                <c:pt idx="25">
                  <c:v>9550</c:v>
                </c:pt>
                <c:pt idx="26">
                  <c:v>15114</c:v>
                </c:pt>
                <c:pt idx="27">
                  <c:v>13690.8</c:v>
                </c:pt>
              </c:numCache>
            </c:numRef>
          </c:val>
        </c:ser>
        <c:ser>
          <c:idx val="8"/>
          <c:order val="8"/>
          <c:tx>
            <c:strRef>
              <c:f>Sheet1!$K$384</c:f>
              <c:strCache>
                <c:ptCount val="1"/>
                <c:pt idx="0">
                  <c:v>Wood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Sheet1!$B$385:$B$422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Sheet1!$K$385:$K$422</c:f>
              <c:numCache>
                <c:ptCount val="38"/>
                <c:pt idx="16">
                  <c:v>26765</c:v>
                </c:pt>
                <c:pt idx="17">
                  <c:v>29603</c:v>
                </c:pt>
                <c:pt idx="18">
                  <c:v>32433</c:v>
                </c:pt>
                <c:pt idx="19">
                  <c:v>34764</c:v>
                </c:pt>
                <c:pt idx="20">
                  <c:v>35898</c:v>
                </c:pt>
                <c:pt idx="21">
                  <c:v>37039</c:v>
                </c:pt>
                <c:pt idx="22">
                  <c:v>35763</c:v>
                </c:pt>
                <c:pt idx="23">
                  <c:v>35991</c:v>
                </c:pt>
                <c:pt idx="24">
                  <c:v>33492</c:v>
                </c:pt>
                <c:pt idx="25">
                  <c:v>31070</c:v>
                </c:pt>
                <c:pt idx="26">
                  <c:v>33984</c:v>
                </c:pt>
                <c:pt idx="27">
                  <c:v>43966.799999999996</c:v>
                </c:pt>
              </c:numCache>
            </c:numRef>
          </c:val>
        </c:ser>
        <c:ser>
          <c:idx val="9"/>
          <c:order val="9"/>
          <c:tx>
            <c:strRef>
              <c:f>Sheet1!$L$384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Sheet1!$B$385:$B$422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Sheet1!$L$385:$L$422</c:f>
              <c:numCache>
                <c:ptCount val="38"/>
                <c:pt idx="16">
                  <c:v>8965</c:v>
                </c:pt>
                <c:pt idx="17">
                  <c:v>11906</c:v>
                </c:pt>
                <c:pt idx="18">
                  <c:v>14435</c:v>
                </c:pt>
                <c:pt idx="19">
                  <c:v>16500</c:v>
                </c:pt>
                <c:pt idx="20">
                  <c:v>17420</c:v>
                </c:pt>
                <c:pt idx="21">
                  <c:v>17860</c:v>
                </c:pt>
                <c:pt idx="22">
                  <c:v>19263</c:v>
                </c:pt>
                <c:pt idx="23">
                  <c:v>19493</c:v>
                </c:pt>
                <c:pt idx="24">
                  <c:v>19341</c:v>
                </c:pt>
                <c:pt idx="25">
                  <c:v>19981</c:v>
                </c:pt>
                <c:pt idx="26">
                  <c:v>25154</c:v>
                </c:pt>
                <c:pt idx="27">
                  <c:v>27169.199999999997</c:v>
                </c:pt>
              </c:numCache>
            </c:numRef>
          </c:val>
        </c:ser>
        <c:ser>
          <c:idx val="10"/>
          <c:order val="10"/>
          <c:tx>
            <c:strRef>
              <c:f>Sheet1!$M$384</c:f>
              <c:strCache>
                <c:ptCount val="1"/>
                <c:pt idx="0">
                  <c:v>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Sheet1!$B$385:$B$422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Sheet1!$M$385:$M$422</c:f>
              <c:numCache>
                <c:ptCount val="38"/>
                <c:pt idx="16">
                  <c:v>2279</c:v>
                </c:pt>
                <c:pt idx="17">
                  <c:v>3035</c:v>
                </c:pt>
                <c:pt idx="18">
                  <c:v>3019</c:v>
                </c:pt>
                <c:pt idx="19">
                  <c:v>2887</c:v>
                </c:pt>
                <c:pt idx="20">
                  <c:v>3022</c:v>
                </c:pt>
                <c:pt idx="21">
                  <c:v>3447</c:v>
                </c:pt>
                <c:pt idx="22">
                  <c:v>3153</c:v>
                </c:pt>
                <c:pt idx="23">
                  <c:v>3366</c:v>
                </c:pt>
                <c:pt idx="24">
                  <c:v>3216</c:v>
                </c:pt>
                <c:pt idx="25">
                  <c:v>2985</c:v>
                </c:pt>
                <c:pt idx="26">
                  <c:v>4465</c:v>
                </c:pt>
                <c:pt idx="27">
                  <c:v>5221.2</c:v>
                </c:pt>
              </c:numCache>
            </c:numRef>
          </c:val>
        </c:ser>
        <c:ser>
          <c:idx val="11"/>
          <c:order val="11"/>
          <c:tx>
            <c:strRef>
              <c:f>Sheet1!$N$384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Sheet1!$B$385:$B$422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Sheet1!$N$385:$N$422</c:f>
              <c:numCache>
                <c:ptCount val="38"/>
                <c:pt idx="16">
                  <c:v>621</c:v>
                </c:pt>
                <c:pt idx="17">
                  <c:v>644</c:v>
                </c:pt>
                <c:pt idx="18">
                  <c:v>765</c:v>
                </c:pt>
                <c:pt idx="19">
                  <c:v>724</c:v>
                </c:pt>
                <c:pt idx="20">
                  <c:v>870</c:v>
                </c:pt>
                <c:pt idx="21">
                  <c:v>799</c:v>
                </c:pt>
                <c:pt idx="22">
                  <c:v>799</c:v>
                </c:pt>
                <c:pt idx="23">
                  <c:v>876</c:v>
                </c:pt>
                <c:pt idx="24">
                  <c:v>866</c:v>
                </c:pt>
                <c:pt idx="25">
                  <c:v>854</c:v>
                </c:pt>
                <c:pt idx="26">
                  <c:v>850</c:v>
                </c:pt>
                <c:pt idx="27">
                  <c:v>850</c:v>
                </c:pt>
              </c:numCache>
            </c:numRef>
          </c:val>
        </c:ser>
        <c:overlap val="100"/>
        <c:gapWidth val="0"/>
        <c:axId val="53504939"/>
        <c:axId val="11782404"/>
      </c:barChart>
      <c:catAx>
        <c:axId val="53504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82404"/>
        <c:crosses val="autoZero"/>
        <c:auto val="1"/>
        <c:lblOffset val="100"/>
        <c:noMultiLvlLbl val="0"/>
      </c:catAx>
      <c:valAx>
        <c:axId val="11782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0493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1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Electricity Generation by Sector</a:t>
            </a:r>
          </a:p>
        </c:rich>
      </c:tx>
      <c:layout>
        <c:manualLayout>
          <c:xMode val="factor"/>
          <c:yMode val="factor"/>
          <c:x val="0.014"/>
          <c:y val="0.0077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125"/>
          <c:w val="0.985"/>
          <c:h val="0.74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Sheet1!$D$425</c:f>
              <c:strCache>
                <c:ptCount val="1"/>
                <c:pt idx="0">
                  <c:v>Utility Share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Sheet1!$C$426:$C$447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Sheet1!$D$426:$D$447</c:f>
              <c:numCache>
                <c:ptCount val="22"/>
                <c:pt idx="0">
                  <c:v>2784315</c:v>
                </c:pt>
                <c:pt idx="1">
                  <c:v>2808150</c:v>
                </c:pt>
                <c:pt idx="2">
                  <c:v>2825023</c:v>
                </c:pt>
                <c:pt idx="3">
                  <c:v>2805571</c:v>
                </c:pt>
                <c:pt idx="4">
                  <c:v>2890595</c:v>
                </c:pt>
                <c:pt idx="5">
                  <c:v>2910713</c:v>
                </c:pt>
                <c:pt idx="6">
                  <c:v>2994528</c:v>
                </c:pt>
                <c:pt idx="7">
                  <c:v>3083618</c:v>
                </c:pt>
                <c:pt idx="8">
                  <c:v>3122521</c:v>
                </c:pt>
                <c:pt idx="9">
                  <c:v>3212171</c:v>
                </c:pt>
                <c:pt idx="10">
                  <c:v>3173672</c:v>
                </c:pt>
                <c:pt idx="11">
                  <c:v>2837898.0000000005</c:v>
                </c:pt>
              </c:numCache>
            </c:numRef>
          </c:val>
        </c:ser>
        <c:ser>
          <c:idx val="1"/>
          <c:order val="1"/>
          <c:tx>
            <c:strRef>
              <c:f>Sheet1!$E$425</c:f>
              <c:strCache>
                <c:ptCount val="1"/>
                <c:pt idx="0">
                  <c:v>Non-Utility Share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Sheet1!$C$426:$C$447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Sheet1!$E$426:$E$447</c:f>
              <c:numCache>
                <c:ptCount val="22"/>
                <c:pt idx="0">
                  <c:v>185865</c:v>
                </c:pt>
                <c:pt idx="1">
                  <c:v>214071</c:v>
                </c:pt>
                <c:pt idx="2">
                  <c:v>242814</c:v>
                </c:pt>
                <c:pt idx="3">
                  <c:v>282736</c:v>
                </c:pt>
                <c:pt idx="4">
                  <c:v>311311</c:v>
                </c:pt>
                <c:pt idx="5">
                  <c:v>339692</c:v>
                </c:pt>
                <c:pt idx="6">
                  <c:v>359638</c:v>
                </c:pt>
                <c:pt idx="7">
                  <c:v>365877</c:v>
                </c:pt>
                <c:pt idx="8">
                  <c:v>368249</c:v>
                </c:pt>
                <c:pt idx="9">
                  <c:v>402096</c:v>
                </c:pt>
                <c:pt idx="10">
                  <c:v>534003</c:v>
                </c:pt>
                <c:pt idx="11">
                  <c:v>791190.3999999999</c:v>
                </c:pt>
              </c:numCache>
            </c:numRef>
          </c:val>
        </c:ser>
        <c:overlap val="100"/>
        <c:gapWidth val="0"/>
        <c:axId val="38932773"/>
        <c:axId val="14850638"/>
      </c:barChart>
      <c:catAx>
        <c:axId val="38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4850638"/>
        <c:crosses val="autoZero"/>
        <c:auto val="1"/>
        <c:lblOffset val="100"/>
        <c:noMultiLvlLbl val="0"/>
      </c:catAx>
      <c:valAx>
        <c:axId val="14850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893277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05"/>
          <c:y val="0.908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25" b="0" i="0" u="none" baseline="0">
          <a:latin typeface="Helv"/>
          <a:ea typeface="Helv"/>
          <a:cs typeface="Helv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Sectoral Distribution of Electricity End Use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85"/>
          <c:w val="0.985"/>
          <c:h val="0.74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Sheet1!$D$451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Sheet1!$C$452:$C$489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Sheet1!$D$452:$D$489</c:f>
              <c:numCache>
                <c:ptCount val="38"/>
                <c:pt idx="0">
                  <c:v>579231</c:v>
                </c:pt>
                <c:pt idx="1">
                  <c:v>578184</c:v>
                </c:pt>
                <c:pt idx="2">
                  <c:v>588140</c:v>
                </c:pt>
                <c:pt idx="3">
                  <c:v>606452</c:v>
                </c:pt>
                <c:pt idx="4">
                  <c:v>645239</c:v>
                </c:pt>
                <c:pt idx="5">
                  <c:v>674466</c:v>
                </c:pt>
                <c:pt idx="6">
                  <c:v>682819</c:v>
                </c:pt>
                <c:pt idx="7">
                  <c:v>717495</c:v>
                </c:pt>
                <c:pt idx="8">
                  <c:v>722265</c:v>
                </c:pt>
                <c:pt idx="9">
                  <c:v>729520</c:v>
                </c:pt>
                <c:pt idx="10">
                  <c:v>750948</c:v>
                </c:pt>
                <c:pt idx="11">
                  <c:v>780092</c:v>
                </c:pt>
                <c:pt idx="12">
                  <c:v>793934</c:v>
                </c:pt>
                <c:pt idx="13">
                  <c:v>819088</c:v>
                </c:pt>
                <c:pt idx="14">
                  <c:v>850410</c:v>
                </c:pt>
                <c:pt idx="15">
                  <c:v>892866</c:v>
                </c:pt>
                <c:pt idx="16">
                  <c:v>905525</c:v>
                </c:pt>
                <c:pt idx="17">
                  <c:v>924019</c:v>
                </c:pt>
                <c:pt idx="18">
                  <c:v>955417</c:v>
                </c:pt>
                <c:pt idx="19">
                  <c:v>935939</c:v>
                </c:pt>
                <c:pt idx="20">
                  <c:v>994781</c:v>
                </c:pt>
                <c:pt idx="21">
                  <c:v>1008482</c:v>
                </c:pt>
                <c:pt idx="22">
                  <c:v>1042501</c:v>
                </c:pt>
                <c:pt idx="23">
                  <c:v>1082491</c:v>
                </c:pt>
                <c:pt idx="24">
                  <c:v>1075767</c:v>
                </c:pt>
                <c:pt idx="25">
                  <c:v>1127735</c:v>
                </c:pt>
                <c:pt idx="26">
                  <c:v>1140761</c:v>
                </c:pt>
                <c:pt idx="27">
                  <c:v>1192279.2</c:v>
                </c:pt>
              </c:numCache>
            </c:numRef>
          </c:val>
        </c:ser>
        <c:ser>
          <c:idx val="1"/>
          <c:order val="1"/>
          <c:tx>
            <c:strRef>
              <c:f>Sheet1!$E$451</c:f>
              <c:strCache>
                <c:ptCount val="1"/>
                <c:pt idx="0">
                  <c:v>Commercial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Sheet1!$C$452:$C$489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Sheet1!$E$452:$E$489</c:f>
              <c:numCache>
                <c:ptCount val="38"/>
                <c:pt idx="0">
                  <c:v>388266</c:v>
                </c:pt>
                <c:pt idx="1">
                  <c:v>384826</c:v>
                </c:pt>
                <c:pt idx="2">
                  <c:v>403049</c:v>
                </c:pt>
                <c:pt idx="3">
                  <c:v>425094</c:v>
                </c:pt>
                <c:pt idx="4">
                  <c:v>446514</c:v>
                </c:pt>
                <c:pt idx="5">
                  <c:v>461163</c:v>
                </c:pt>
                <c:pt idx="6">
                  <c:v>473307</c:v>
                </c:pt>
                <c:pt idx="7">
                  <c:v>488155</c:v>
                </c:pt>
                <c:pt idx="8">
                  <c:v>514338</c:v>
                </c:pt>
                <c:pt idx="9">
                  <c:v>526397</c:v>
                </c:pt>
                <c:pt idx="10">
                  <c:v>543788</c:v>
                </c:pt>
                <c:pt idx="11">
                  <c:v>582621</c:v>
                </c:pt>
                <c:pt idx="12">
                  <c:v>605089</c:v>
                </c:pt>
                <c:pt idx="13">
                  <c:v>630520</c:v>
                </c:pt>
                <c:pt idx="14">
                  <c:v>660433</c:v>
                </c:pt>
                <c:pt idx="15">
                  <c:v>699100</c:v>
                </c:pt>
                <c:pt idx="16">
                  <c:v>725861</c:v>
                </c:pt>
                <c:pt idx="17">
                  <c:v>751027</c:v>
                </c:pt>
                <c:pt idx="18">
                  <c:v>765664</c:v>
                </c:pt>
                <c:pt idx="19">
                  <c:v>761271</c:v>
                </c:pt>
                <c:pt idx="20">
                  <c:v>794573</c:v>
                </c:pt>
                <c:pt idx="21">
                  <c:v>820269</c:v>
                </c:pt>
                <c:pt idx="22">
                  <c:v>862685</c:v>
                </c:pt>
                <c:pt idx="23">
                  <c:v>887425</c:v>
                </c:pt>
                <c:pt idx="24">
                  <c:v>928440</c:v>
                </c:pt>
                <c:pt idx="25">
                  <c:v>968528</c:v>
                </c:pt>
                <c:pt idx="26">
                  <c:v>970601</c:v>
                </c:pt>
                <c:pt idx="27">
                  <c:v>1041138</c:v>
                </c:pt>
              </c:numCache>
            </c:numRef>
          </c:val>
        </c:ser>
        <c:ser>
          <c:idx val="2"/>
          <c:order val="2"/>
          <c:tx>
            <c:strRef>
              <c:f>Sheet1!$F$451</c:f>
              <c:strCache>
                <c:ptCount val="1"/>
                <c:pt idx="0">
                  <c:v>Industrial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Sheet1!$C$452:$C$489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Sheet1!$F$452:$F$489</c:f>
              <c:numCache>
                <c:ptCount val="38"/>
                <c:pt idx="0">
                  <c:v>686085</c:v>
                </c:pt>
                <c:pt idx="1">
                  <c:v>684875</c:v>
                </c:pt>
                <c:pt idx="2">
                  <c:v>687680</c:v>
                </c:pt>
                <c:pt idx="3">
                  <c:v>754069</c:v>
                </c:pt>
                <c:pt idx="4">
                  <c:v>786037</c:v>
                </c:pt>
                <c:pt idx="5">
                  <c:v>809078</c:v>
                </c:pt>
                <c:pt idx="6">
                  <c:v>841903</c:v>
                </c:pt>
                <c:pt idx="7">
                  <c:v>815067</c:v>
                </c:pt>
                <c:pt idx="8">
                  <c:v>825743</c:v>
                </c:pt>
                <c:pt idx="9">
                  <c:v>744949</c:v>
                </c:pt>
                <c:pt idx="10">
                  <c:v>775999</c:v>
                </c:pt>
                <c:pt idx="11">
                  <c:v>837836</c:v>
                </c:pt>
                <c:pt idx="12">
                  <c:v>836772</c:v>
                </c:pt>
                <c:pt idx="13">
                  <c:v>830531</c:v>
                </c:pt>
                <c:pt idx="14">
                  <c:v>858233</c:v>
                </c:pt>
                <c:pt idx="15">
                  <c:v>896498</c:v>
                </c:pt>
                <c:pt idx="16">
                  <c:v>925659</c:v>
                </c:pt>
                <c:pt idx="17">
                  <c:v>945522</c:v>
                </c:pt>
                <c:pt idx="18">
                  <c:v>946583</c:v>
                </c:pt>
                <c:pt idx="19">
                  <c:v>972714</c:v>
                </c:pt>
                <c:pt idx="20">
                  <c:v>977164</c:v>
                </c:pt>
                <c:pt idx="21">
                  <c:v>1007981</c:v>
                </c:pt>
                <c:pt idx="22">
                  <c:v>1012693</c:v>
                </c:pt>
                <c:pt idx="23">
                  <c:v>1030356</c:v>
                </c:pt>
                <c:pt idx="24">
                  <c:v>1032653</c:v>
                </c:pt>
                <c:pt idx="25">
                  <c:v>1040038</c:v>
                </c:pt>
                <c:pt idx="26">
                  <c:v>1017783</c:v>
                </c:pt>
                <c:pt idx="27">
                  <c:v>1078410</c:v>
                </c:pt>
              </c:numCache>
            </c:numRef>
          </c:val>
        </c:ser>
        <c:ser>
          <c:idx val="3"/>
          <c:order val="3"/>
          <c:tx>
            <c:strRef>
              <c:f>Sheet1!$G$451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Sheet1!$C$452:$C$489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Sheet1!$G$452:$G$489</c:f>
              <c:numCache>
                <c:ptCount val="38"/>
                <c:pt idx="0">
                  <c:v>59326</c:v>
                </c:pt>
                <c:pt idx="1">
                  <c:v>58039</c:v>
                </c:pt>
                <c:pt idx="2">
                  <c:v>68222</c:v>
                </c:pt>
                <c:pt idx="3">
                  <c:v>69631</c:v>
                </c:pt>
                <c:pt idx="4">
                  <c:v>70571</c:v>
                </c:pt>
                <c:pt idx="5">
                  <c:v>73215</c:v>
                </c:pt>
                <c:pt idx="6">
                  <c:v>7307</c:v>
                </c:pt>
                <c:pt idx="7">
                  <c:v>73732</c:v>
                </c:pt>
                <c:pt idx="8">
                  <c:v>84756</c:v>
                </c:pt>
                <c:pt idx="9">
                  <c:v>85575</c:v>
                </c:pt>
                <c:pt idx="10">
                  <c:v>80219</c:v>
                </c:pt>
                <c:pt idx="11">
                  <c:v>85248</c:v>
                </c:pt>
                <c:pt idx="12">
                  <c:v>87279</c:v>
                </c:pt>
                <c:pt idx="13">
                  <c:v>88615</c:v>
                </c:pt>
                <c:pt idx="14">
                  <c:v>88196</c:v>
                </c:pt>
                <c:pt idx="15">
                  <c:v>89598</c:v>
                </c:pt>
                <c:pt idx="16">
                  <c:v>89765</c:v>
                </c:pt>
                <c:pt idx="17">
                  <c:v>91988</c:v>
                </c:pt>
                <c:pt idx="18">
                  <c:v>94339</c:v>
                </c:pt>
                <c:pt idx="19">
                  <c:v>93442</c:v>
                </c:pt>
                <c:pt idx="20">
                  <c:v>94944</c:v>
                </c:pt>
                <c:pt idx="21">
                  <c:v>97830</c:v>
                </c:pt>
                <c:pt idx="22">
                  <c:v>95407</c:v>
                </c:pt>
                <c:pt idx="23">
                  <c:v>97539</c:v>
                </c:pt>
                <c:pt idx="24">
                  <c:v>102901</c:v>
                </c:pt>
                <c:pt idx="25">
                  <c:v>103518</c:v>
                </c:pt>
                <c:pt idx="26">
                  <c:v>106754</c:v>
                </c:pt>
                <c:pt idx="27">
                  <c:v>112405.2</c:v>
                </c:pt>
              </c:numCache>
            </c:numRef>
          </c:val>
        </c:ser>
        <c:ser>
          <c:idx val="4"/>
          <c:order val="4"/>
          <c:tx>
            <c:strRef>
              <c:f>Sheet1!$H$451</c:f>
              <c:strCache>
                <c:ptCount val="1"/>
                <c:pt idx="0">
                  <c:v>Direct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Sheet1!$C$452:$C$489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Sheet1!$H$452:$H$489</c:f>
              <c:numCache>
                <c:ptCount val="38"/>
                <c:pt idx="16">
                  <c:v>82742</c:v>
                </c:pt>
                <c:pt idx="17">
                  <c:v>84367</c:v>
                </c:pt>
                <c:pt idx="18">
                  <c:v>99623</c:v>
                </c:pt>
                <c:pt idx="19">
                  <c:v>110988</c:v>
                </c:pt>
                <c:pt idx="20">
                  <c:v>111322</c:v>
                </c:pt>
                <c:pt idx="21">
                  <c:v>123283</c:v>
                </c:pt>
                <c:pt idx="22">
                  <c:v>133609</c:v>
                </c:pt>
                <c:pt idx="23">
                  <c:v>134644</c:v>
                </c:pt>
                <c:pt idx="24">
                  <c:v>130836</c:v>
                </c:pt>
                <c:pt idx="25">
                  <c:v>134041</c:v>
                </c:pt>
                <c:pt idx="26">
                  <c:v>147581</c:v>
                </c:pt>
                <c:pt idx="27">
                  <c:v>149324</c:v>
                </c:pt>
              </c:numCache>
            </c:numRef>
          </c:val>
        </c:ser>
        <c:ser>
          <c:idx val="5"/>
          <c:order val="5"/>
          <c:tx>
            <c:strRef>
              <c:f>Sheet1!$I$451</c:f>
              <c:strCache>
                <c:ptCount val="1"/>
                <c:pt idx="0">
                  <c:v>Sales to end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Sheet1!$C$452:$C$489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Sheet1!$I$452:$I$489</c:f>
              <c:numCache>
                <c:ptCount val="38"/>
                <c:pt idx="16">
                  <c:v>17687</c:v>
                </c:pt>
                <c:pt idx="17">
                  <c:v>19824</c:v>
                </c:pt>
                <c:pt idx="18">
                  <c:v>11419</c:v>
                </c:pt>
                <c:pt idx="19">
                  <c:v>10786</c:v>
                </c:pt>
                <c:pt idx="20">
                  <c:v>15569</c:v>
                </c:pt>
                <c:pt idx="21">
                  <c:v>17626</c:v>
                </c:pt>
                <c:pt idx="22">
                  <c:v>15548</c:v>
                </c:pt>
                <c:pt idx="23">
                  <c:v>14284</c:v>
                </c:pt>
                <c:pt idx="24">
                  <c:v>18147</c:v>
                </c:pt>
                <c:pt idx="25">
                  <c:v>25777</c:v>
                </c:pt>
                <c:pt idx="26">
                  <c:v>41683</c:v>
                </c:pt>
                <c:pt idx="27">
                  <c:v>44223</c:v>
                </c:pt>
              </c:numCache>
            </c:numRef>
          </c:val>
        </c:ser>
        <c:overlap val="100"/>
        <c:gapWidth val="0"/>
        <c:axId val="66546879"/>
        <c:axId val="62051000"/>
      </c:barChart>
      <c:catAx>
        <c:axId val="6654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51000"/>
        <c:crosses val="autoZero"/>
        <c:auto val="1"/>
        <c:lblOffset val="100"/>
        <c:noMultiLvlLbl val="0"/>
      </c:catAx>
      <c:valAx>
        <c:axId val="62051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4687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"/>
          <c:y val="0.913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U.S. Energy Net Import Dependency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5"/>
          <c:y val="0.208"/>
          <c:w val="0.96675"/>
          <c:h val="0.652"/>
        </c:manualLayout>
      </c:layout>
      <c:lineChart>
        <c:grouping val="standard"/>
        <c:varyColors val="0"/>
        <c:ser>
          <c:idx val="0"/>
          <c:order val="0"/>
          <c:tx>
            <c:strRef>
              <c:f>Sheet1!$I$12</c:f>
              <c:strCache>
                <c:ptCount val="1"/>
                <c:pt idx="0">
                  <c:v>Net Import Dependency Ratio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Net Import Dependency Ratio Trend</c:nam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Sheet1!$B$13:$B$45</c:f>
              <c:numCache>
                <c:ptCount val="2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</c:numCache>
            </c:numRef>
          </c:cat>
          <c:val>
            <c:numRef>
              <c:f>Sheet1!$I$13:$I$40</c:f>
              <c:numCache>
                <c:ptCount val="28"/>
                <c:pt idx="0">
                  <c:v>0.16726466863655548</c:v>
                </c:pt>
                <c:pt idx="1">
                  <c:v>0.16455183585313174</c:v>
                </c:pt>
                <c:pt idx="2">
                  <c:v>0.16312706476777436</c:v>
                </c:pt>
                <c:pt idx="3">
                  <c:v>0.19255442212640655</c:v>
                </c:pt>
                <c:pt idx="4">
                  <c:v>0.23065205703899028</c:v>
                </c:pt>
                <c:pt idx="5">
                  <c:v>0.21620508468230096</c:v>
                </c:pt>
                <c:pt idx="6">
                  <c:v>0.20662849809979764</c:v>
                </c:pt>
                <c:pt idx="7">
                  <c:v>0.15614202843118505</c:v>
                </c:pt>
                <c:pt idx="8">
                  <c:v>0.12597787616398282</c:v>
                </c:pt>
                <c:pt idx="9">
                  <c:v>0.10157952069716776</c:v>
                </c:pt>
                <c:pt idx="10">
                  <c:v>0.11334342649044561</c:v>
                </c:pt>
                <c:pt idx="11">
                  <c:v>0.11644494101751286</c:v>
                </c:pt>
                <c:pt idx="12">
                  <c:v>0.10252937039256035</c:v>
                </c:pt>
                <c:pt idx="13">
                  <c:v>0.1347174463115552</c:v>
                </c:pt>
                <c:pt idx="14">
                  <c:v>0.14957366920748935</c:v>
                </c:pt>
                <c:pt idx="15">
                  <c:v>0.1582920017335195</c:v>
                </c:pt>
                <c:pt idx="16">
                  <c:v>0.1676929804862482</c:v>
                </c:pt>
                <c:pt idx="17">
                  <c:v>0.16727622485572471</c:v>
                </c:pt>
                <c:pt idx="18">
                  <c:v>0.15838844888799175</c:v>
                </c:pt>
                <c:pt idx="19">
                  <c:v>0.1710238504637915</c:v>
                </c:pt>
                <c:pt idx="20">
                  <c:v>0.19723651195563752</c:v>
                </c:pt>
                <c:pt idx="21">
                  <c:v>0.20911771631030734</c:v>
                </c:pt>
                <c:pt idx="22">
                  <c:v>0.19802252430601378</c:v>
                </c:pt>
                <c:pt idx="23">
                  <c:v>0.20589550808289492</c:v>
                </c:pt>
                <c:pt idx="24">
                  <c:v>0.22206198903580857</c:v>
                </c:pt>
                <c:pt idx="25">
                  <c:v>0.2381395644033553</c:v>
                </c:pt>
                <c:pt idx="26">
                  <c:v>0.2447959088987638</c:v>
                </c:pt>
                <c:pt idx="27">
                  <c:v>0.24926360936171266</c:v>
                </c:pt>
              </c:numCache>
            </c:numRef>
          </c:val>
          <c:smooth val="0"/>
        </c:ser>
        <c:marker val="1"/>
        <c:axId val="6424709"/>
        <c:axId val="57822382"/>
      </c:lineChart>
      <c:catAx>
        <c:axId val="6424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7822382"/>
        <c:crosses val="autoZero"/>
        <c:auto val="1"/>
        <c:lblOffset val="100"/>
        <c:noMultiLvlLbl val="0"/>
      </c:catAx>
      <c:valAx>
        <c:axId val="5782238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42470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025"/>
          <c:y val="0.87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50" b="0" i="0" u="none" baseline="0">
          <a:latin typeface="Helv"/>
          <a:ea typeface="Helv"/>
          <a:cs typeface="Helv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Number of Operating Nuclear Generating Units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2"/>
          <c:y val="0.1575"/>
          <c:w val="0.98275"/>
          <c:h val="0.741"/>
        </c:manualLayout>
      </c:layout>
      <c:lineChart>
        <c:grouping val="standard"/>
        <c:varyColors val="0"/>
        <c:ser>
          <c:idx val="1"/>
          <c:order val="0"/>
          <c:tx>
            <c:v>Number of Operating Units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Number of Operating Units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Sheet1!$C$492:$C$529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Sheet1!$D$492:$D$529</c:f>
              <c:numCache>
                <c:ptCount val="38"/>
                <c:pt idx="0">
                  <c:v>42</c:v>
                </c:pt>
                <c:pt idx="1">
                  <c:v>55</c:v>
                </c:pt>
                <c:pt idx="2">
                  <c:v>57</c:v>
                </c:pt>
                <c:pt idx="3">
                  <c:v>63</c:v>
                </c:pt>
                <c:pt idx="4">
                  <c:v>67</c:v>
                </c:pt>
                <c:pt idx="5">
                  <c:v>70</c:v>
                </c:pt>
                <c:pt idx="6">
                  <c:v>69</c:v>
                </c:pt>
                <c:pt idx="7">
                  <c:v>71</c:v>
                </c:pt>
                <c:pt idx="8">
                  <c:v>75</c:v>
                </c:pt>
                <c:pt idx="9">
                  <c:v>78</c:v>
                </c:pt>
                <c:pt idx="10">
                  <c:v>81</c:v>
                </c:pt>
                <c:pt idx="11">
                  <c:v>87</c:v>
                </c:pt>
                <c:pt idx="12">
                  <c:v>96</c:v>
                </c:pt>
                <c:pt idx="13">
                  <c:v>101</c:v>
                </c:pt>
                <c:pt idx="14">
                  <c:v>107</c:v>
                </c:pt>
                <c:pt idx="15">
                  <c:v>109</c:v>
                </c:pt>
                <c:pt idx="16">
                  <c:v>111</c:v>
                </c:pt>
                <c:pt idx="17">
                  <c:v>112</c:v>
                </c:pt>
                <c:pt idx="18">
                  <c:v>111</c:v>
                </c:pt>
                <c:pt idx="19">
                  <c:v>109</c:v>
                </c:pt>
                <c:pt idx="20">
                  <c:v>110</c:v>
                </c:pt>
                <c:pt idx="21">
                  <c:v>109</c:v>
                </c:pt>
                <c:pt idx="22">
                  <c:v>109</c:v>
                </c:pt>
                <c:pt idx="23">
                  <c:v>109</c:v>
                </c:pt>
                <c:pt idx="24">
                  <c:v>107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</c:numCache>
            </c:numRef>
          </c:val>
          <c:smooth val="0"/>
        </c:ser>
        <c:marker val="1"/>
        <c:axId val="21588089"/>
        <c:axId val="60075074"/>
      </c:lineChart>
      <c:catAx>
        <c:axId val="21588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75074"/>
        <c:crosses val="autoZero"/>
        <c:auto val="1"/>
        <c:lblOffset val="100"/>
        <c:noMultiLvlLbl val="0"/>
      </c:catAx>
      <c:valAx>
        <c:axId val="60075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8808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375"/>
          <c:y val="0.914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Current and Constant Dollar Cost of Crude Oil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5"/>
          <c:y val="0.113"/>
          <c:w val="0.9692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Sheet1!$C$532</c:f>
              <c:strCache>
                <c:ptCount val="1"/>
                <c:pt idx="0">
                  <c:v>Domestic First Purchase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Sheet1!$B$533:$B$570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Sheet1!$C$533:$C$570</c:f>
              <c:numCache>
                <c:ptCount val="38"/>
                <c:pt idx="0">
                  <c:v>3.89</c:v>
                </c:pt>
                <c:pt idx="1">
                  <c:v>6.87</c:v>
                </c:pt>
                <c:pt idx="2">
                  <c:v>7.67</c:v>
                </c:pt>
                <c:pt idx="3">
                  <c:v>8.19</c:v>
                </c:pt>
                <c:pt idx="4">
                  <c:v>8.57</c:v>
                </c:pt>
                <c:pt idx="5">
                  <c:v>9</c:v>
                </c:pt>
                <c:pt idx="6">
                  <c:v>12.64</c:v>
                </c:pt>
                <c:pt idx="7">
                  <c:v>21.59</c:v>
                </c:pt>
                <c:pt idx="8">
                  <c:v>31.77</c:v>
                </c:pt>
                <c:pt idx="9">
                  <c:v>28.52</c:v>
                </c:pt>
                <c:pt idx="10">
                  <c:v>26.19</c:v>
                </c:pt>
                <c:pt idx="11">
                  <c:v>25.88</c:v>
                </c:pt>
                <c:pt idx="12">
                  <c:v>24.09</c:v>
                </c:pt>
                <c:pt idx="13">
                  <c:v>12.51</c:v>
                </c:pt>
                <c:pt idx="14">
                  <c:v>15.4</c:v>
                </c:pt>
                <c:pt idx="15">
                  <c:v>12.58</c:v>
                </c:pt>
                <c:pt idx="16">
                  <c:v>15.86</c:v>
                </c:pt>
                <c:pt idx="17">
                  <c:v>20.03</c:v>
                </c:pt>
                <c:pt idx="18">
                  <c:v>16.54</c:v>
                </c:pt>
                <c:pt idx="19">
                  <c:v>15.99</c:v>
                </c:pt>
                <c:pt idx="20">
                  <c:v>14.25</c:v>
                </c:pt>
                <c:pt idx="21">
                  <c:v>13.19</c:v>
                </c:pt>
                <c:pt idx="22">
                  <c:v>14.62</c:v>
                </c:pt>
                <c:pt idx="23">
                  <c:v>18.46</c:v>
                </c:pt>
                <c:pt idx="24">
                  <c:v>17.23</c:v>
                </c:pt>
                <c:pt idx="25">
                  <c:v>10.87</c:v>
                </c:pt>
                <c:pt idx="26">
                  <c:v>15.56</c:v>
                </c:pt>
                <c:pt idx="27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Sheet1!$D$532</c:f>
              <c:strCache>
                <c:ptCount val="1"/>
                <c:pt idx="0">
                  <c:v>Landed Cost of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Sheet1!$B$533:$B$570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Sheet1!$D$533:$D$570</c:f>
              <c:numCache>
                <c:ptCount val="38"/>
                <c:pt idx="0">
                  <c:v>6.41</c:v>
                </c:pt>
                <c:pt idx="1">
                  <c:v>12.32</c:v>
                </c:pt>
                <c:pt idx="2">
                  <c:v>12.7</c:v>
                </c:pt>
                <c:pt idx="3">
                  <c:v>13.32</c:v>
                </c:pt>
                <c:pt idx="4">
                  <c:v>14.36</c:v>
                </c:pt>
                <c:pt idx="5">
                  <c:v>14.35</c:v>
                </c:pt>
                <c:pt idx="6">
                  <c:v>21.45</c:v>
                </c:pt>
                <c:pt idx="7">
                  <c:v>33.67</c:v>
                </c:pt>
                <c:pt idx="8">
                  <c:v>36.47</c:v>
                </c:pt>
                <c:pt idx="9">
                  <c:v>33.18</c:v>
                </c:pt>
                <c:pt idx="10">
                  <c:v>28.93</c:v>
                </c:pt>
                <c:pt idx="11">
                  <c:v>28.54</c:v>
                </c:pt>
                <c:pt idx="12">
                  <c:v>26.67</c:v>
                </c:pt>
                <c:pt idx="13">
                  <c:v>13.49</c:v>
                </c:pt>
                <c:pt idx="14">
                  <c:v>17.65</c:v>
                </c:pt>
                <c:pt idx="15">
                  <c:v>14.08</c:v>
                </c:pt>
                <c:pt idx="16">
                  <c:v>17.68</c:v>
                </c:pt>
                <c:pt idx="17">
                  <c:v>21.13</c:v>
                </c:pt>
                <c:pt idx="18">
                  <c:v>18.02</c:v>
                </c:pt>
                <c:pt idx="19">
                  <c:v>17.75</c:v>
                </c:pt>
                <c:pt idx="20">
                  <c:v>15.72</c:v>
                </c:pt>
                <c:pt idx="21">
                  <c:v>15.18</c:v>
                </c:pt>
                <c:pt idx="22">
                  <c:v>16.78</c:v>
                </c:pt>
                <c:pt idx="23">
                  <c:v>20.31</c:v>
                </c:pt>
                <c:pt idx="24">
                  <c:v>18.11</c:v>
                </c:pt>
                <c:pt idx="25">
                  <c:v>11.84</c:v>
                </c:pt>
                <c:pt idx="26">
                  <c:v>17.23</c:v>
                </c:pt>
                <c:pt idx="27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v>Refiner Acquisition Cost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Sheet1!$B$533:$B$570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Sheet1!$E$533:$E$570</c:f>
              <c:numCache>
                <c:ptCount val="38"/>
                <c:pt idx="0">
                  <c:v>4.15</c:v>
                </c:pt>
                <c:pt idx="1">
                  <c:v>9.07</c:v>
                </c:pt>
                <c:pt idx="2">
                  <c:v>10.38</c:v>
                </c:pt>
                <c:pt idx="3">
                  <c:v>10.89</c:v>
                </c:pt>
                <c:pt idx="4">
                  <c:v>11.96</c:v>
                </c:pt>
                <c:pt idx="5">
                  <c:v>12.46</c:v>
                </c:pt>
                <c:pt idx="6">
                  <c:v>17.72</c:v>
                </c:pt>
                <c:pt idx="7">
                  <c:v>28.07</c:v>
                </c:pt>
                <c:pt idx="8">
                  <c:v>35.24</c:v>
                </c:pt>
                <c:pt idx="9">
                  <c:v>31.87</c:v>
                </c:pt>
                <c:pt idx="10">
                  <c:v>28.99</c:v>
                </c:pt>
                <c:pt idx="11">
                  <c:v>28.63</c:v>
                </c:pt>
                <c:pt idx="12">
                  <c:v>26.75</c:v>
                </c:pt>
                <c:pt idx="13">
                  <c:v>14.55</c:v>
                </c:pt>
                <c:pt idx="14">
                  <c:v>17.9</c:v>
                </c:pt>
                <c:pt idx="15">
                  <c:v>14.67</c:v>
                </c:pt>
                <c:pt idx="16">
                  <c:v>17.97</c:v>
                </c:pt>
                <c:pt idx="17">
                  <c:v>22.22</c:v>
                </c:pt>
                <c:pt idx="18">
                  <c:v>19.06</c:v>
                </c:pt>
                <c:pt idx="19">
                  <c:v>18.43</c:v>
                </c:pt>
                <c:pt idx="20">
                  <c:v>16.41</c:v>
                </c:pt>
                <c:pt idx="21">
                  <c:v>15.59</c:v>
                </c:pt>
                <c:pt idx="22">
                  <c:v>17.23</c:v>
                </c:pt>
                <c:pt idx="23">
                  <c:v>20.71</c:v>
                </c:pt>
                <c:pt idx="24">
                  <c:v>19.04</c:v>
                </c:pt>
                <c:pt idx="25">
                  <c:v>12.52</c:v>
                </c:pt>
                <c:pt idx="26">
                  <c:v>17.51</c:v>
                </c:pt>
                <c:pt idx="27">
                  <c:v>30.58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Sheet1!$F$532</c:f>
              <c:strCache>
                <c:ptCount val="1"/>
                <c:pt idx="0">
                  <c:v>Real Domestic First Purchase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Sheet1!$B$533:$B$570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Sheet1!$F$533:$F$570</c:f>
              <c:numCache>
                <c:ptCount val="38"/>
                <c:pt idx="0">
                  <c:v>15.332207207207206</c:v>
                </c:pt>
                <c:pt idx="1">
                  <c:v>24.38640973630832</c:v>
                </c:pt>
                <c:pt idx="2">
                  <c:v>24.94888475836431</c:v>
                </c:pt>
                <c:pt idx="3">
                  <c:v>25.188927943760984</c:v>
                </c:pt>
                <c:pt idx="4">
                  <c:v>24.748349834983497</c:v>
                </c:pt>
                <c:pt idx="5">
                  <c:v>24.15644171779141</c:v>
                </c:pt>
                <c:pt idx="6">
                  <c:v>30.468319559228654</c:v>
                </c:pt>
                <c:pt idx="7">
                  <c:v>45.852548543689316</c:v>
                </c:pt>
                <c:pt idx="8">
                  <c:v>61.16336633663366</c:v>
                </c:pt>
                <c:pt idx="9">
                  <c:v>51.72020725388602</c:v>
                </c:pt>
                <c:pt idx="10">
                  <c:v>46.01656626506025</c:v>
                </c:pt>
                <c:pt idx="11">
                  <c:v>43.58999037536092</c:v>
                </c:pt>
                <c:pt idx="12">
                  <c:v>39.17983271375464</c:v>
                </c:pt>
                <c:pt idx="13">
                  <c:v>19.97490875912409</c:v>
                </c:pt>
                <c:pt idx="14">
                  <c:v>23.723591549295776</c:v>
                </c:pt>
                <c:pt idx="15">
                  <c:v>18.609467455621303</c:v>
                </c:pt>
                <c:pt idx="16">
                  <c:v>22.383064516129032</c:v>
                </c:pt>
                <c:pt idx="17">
                  <c:v>26.819051262433057</c:v>
                </c:pt>
                <c:pt idx="18">
                  <c:v>21.251835535976504</c:v>
                </c:pt>
                <c:pt idx="19">
                  <c:v>19.9447612259444</c:v>
                </c:pt>
                <c:pt idx="20">
                  <c:v>17.257785467128027</c:v>
                </c:pt>
                <c:pt idx="21">
                  <c:v>15.575236167341432</c:v>
                </c:pt>
                <c:pt idx="22">
                  <c:v>16.78805774278215</c:v>
                </c:pt>
                <c:pt idx="23">
                  <c:v>20.589547482472913</c:v>
                </c:pt>
                <c:pt idx="24">
                  <c:v>18.786604361370717</c:v>
                </c:pt>
                <c:pt idx="25">
                  <c:v>11.670245398773005</c:v>
                </c:pt>
                <c:pt idx="26">
                  <c:v>16.344537815126053</c:v>
                </c:pt>
                <c:pt idx="27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Sheet1!$G$532</c:f>
              <c:strCache>
                <c:ptCount val="1"/>
                <c:pt idx="0">
                  <c:v>Real Landed Cost of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trendline>
            <c:name>Real Landed Cost of Imports Trend</c:name>
            <c:spPr>
              <a:ln w="25400">
                <a:solidFill>
                  <a:srgbClr val="FF66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Real Landed Cost of Imports:
y = -0.0005x</a:t>
                    </a:r>
                    <a:r>
                      <a:rPr lang="en-US" cap="none" sz="875" b="0" i="0" u="none" baseline="30000">
                        <a:latin typeface="Helv"/>
                        <a:ea typeface="Helv"/>
                        <a:cs typeface="Helv"/>
                      </a:rPr>
                      <a:t>4</a:t>
                    </a: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 + 0.0482x</a:t>
                    </a:r>
                    <a:r>
                      <a:rPr lang="en-US" cap="none" sz="875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 - 1.4761x</a:t>
                    </a:r>
                    <a:r>
                      <a:rPr lang="en-US" cap="none" sz="8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 + 14.419x + 11.151
R</a:t>
                    </a:r>
                    <a:r>
                      <a:rPr lang="en-US" cap="none" sz="8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 = 0.7544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Sheet1!$B$533:$B$570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Sheet1!$G$533:$G$570</c:f>
              <c:numCache>
                <c:ptCount val="38"/>
                <c:pt idx="0">
                  <c:v>25.26463963963964</c:v>
                </c:pt>
                <c:pt idx="1">
                  <c:v>43.73225152129818</c:v>
                </c:pt>
                <c:pt idx="2">
                  <c:v>41.31040892193308</c:v>
                </c:pt>
                <c:pt idx="3">
                  <c:v>40.966608084358526</c:v>
                </c:pt>
                <c:pt idx="4">
                  <c:v>41.46864686468646</c:v>
                </c:pt>
                <c:pt idx="5">
                  <c:v>38.516104294478524</c:v>
                </c:pt>
                <c:pt idx="6">
                  <c:v>51.70454545454546</c:v>
                </c:pt>
                <c:pt idx="7">
                  <c:v>71.50788834951456</c:v>
                </c:pt>
                <c:pt idx="8">
                  <c:v>70.21177117711771</c:v>
                </c:pt>
                <c:pt idx="9">
                  <c:v>60.17098445595855</c:v>
                </c:pt>
                <c:pt idx="10">
                  <c:v>50.8308232931727</c:v>
                </c:pt>
                <c:pt idx="11">
                  <c:v>48.070259865255046</c:v>
                </c:pt>
                <c:pt idx="12">
                  <c:v>43.37592936802974</c:v>
                </c:pt>
                <c:pt idx="13">
                  <c:v>21.5396897810219</c:v>
                </c:pt>
                <c:pt idx="14">
                  <c:v>27.189700704225352</c:v>
                </c:pt>
                <c:pt idx="15">
                  <c:v>20.82840236686391</c:v>
                </c:pt>
                <c:pt idx="16">
                  <c:v>24.951612903225808</c:v>
                </c:pt>
                <c:pt idx="17">
                  <c:v>28.291889824024484</c:v>
                </c:pt>
                <c:pt idx="18">
                  <c:v>23.15345080763583</c:v>
                </c:pt>
                <c:pt idx="19">
                  <c:v>22.14005702066999</c:v>
                </c:pt>
                <c:pt idx="20">
                  <c:v>19.038062283737023</c:v>
                </c:pt>
                <c:pt idx="21">
                  <c:v>17.9251012145749</c:v>
                </c:pt>
                <c:pt idx="22">
                  <c:v>19.268372703412073</c:v>
                </c:pt>
                <c:pt idx="23">
                  <c:v>22.652963671128106</c:v>
                </c:pt>
                <c:pt idx="24">
                  <c:v>19.746105919003114</c:v>
                </c:pt>
                <c:pt idx="25">
                  <c:v>12.711656441717793</c:v>
                </c:pt>
                <c:pt idx="26">
                  <c:v>18.09873949579832</c:v>
                </c:pt>
                <c:pt idx="27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Sheet1!$H$532</c:f>
              <c:strCache>
                <c:ptCount val="1"/>
                <c:pt idx="0">
                  <c:v>Real Refiner Acquisiton Composite Cost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Sheet1!$B$533:$B$570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Sheet1!$H$533:$H$570</c:f>
              <c:numCache>
                <c:ptCount val="38"/>
                <c:pt idx="0">
                  <c:v>16.35698198198198</c:v>
                </c:pt>
                <c:pt idx="1">
                  <c:v>32.19574036511157</c:v>
                </c:pt>
                <c:pt idx="2">
                  <c:v>33.7639405204461</c:v>
                </c:pt>
                <c:pt idx="3">
                  <c:v>33.49297012302285</c:v>
                </c:pt>
                <c:pt idx="4">
                  <c:v>34.537953795379536</c:v>
                </c:pt>
                <c:pt idx="5">
                  <c:v>33.44325153374233</c:v>
                </c:pt>
                <c:pt idx="6">
                  <c:v>42.71349862258953</c:v>
                </c:pt>
                <c:pt idx="7">
                  <c:v>59.61468446601942</c:v>
                </c:pt>
                <c:pt idx="8">
                  <c:v>67.84378437843785</c:v>
                </c:pt>
                <c:pt idx="9">
                  <c:v>57.79533678756477</c:v>
                </c:pt>
                <c:pt idx="10">
                  <c:v>50.936244979919685</c:v>
                </c:pt>
                <c:pt idx="11">
                  <c:v>48.221847930702594</c:v>
                </c:pt>
                <c:pt idx="12">
                  <c:v>43.506040892193305</c:v>
                </c:pt>
                <c:pt idx="13">
                  <c:v>23.232208029197082</c:v>
                </c:pt>
                <c:pt idx="14">
                  <c:v>27.57482394366197</c:v>
                </c:pt>
                <c:pt idx="15">
                  <c:v>21.701183431952664</c:v>
                </c:pt>
                <c:pt idx="16">
                  <c:v>25.360887096774192</c:v>
                </c:pt>
                <c:pt idx="17">
                  <c:v>29.7513389441469</c:v>
                </c:pt>
                <c:pt idx="18">
                  <c:v>24.48972099853157</c:v>
                </c:pt>
                <c:pt idx="19">
                  <c:v>22.988239486813967</c:v>
                </c:pt>
                <c:pt idx="20">
                  <c:v>19.87370242214533</c:v>
                </c:pt>
                <c:pt idx="21">
                  <c:v>18.409244264507425</c:v>
                </c:pt>
                <c:pt idx="22">
                  <c:v>19.78510498687664</c:v>
                </c:pt>
                <c:pt idx="23">
                  <c:v>23.09910771191842</c:v>
                </c:pt>
                <c:pt idx="24">
                  <c:v>20.760124610591898</c:v>
                </c:pt>
                <c:pt idx="25">
                  <c:v>13.441717791411044</c:v>
                </c:pt>
                <c:pt idx="26">
                  <c:v>18.392857142857146</c:v>
                </c:pt>
                <c:pt idx="27">
                  <c:v>30.58</c:v>
                </c:pt>
              </c:numCache>
            </c:numRef>
          </c:val>
          <c:smooth val="0"/>
        </c:ser>
        <c:marker val="1"/>
        <c:axId val="3804755"/>
        <c:axId val="34242796"/>
      </c:lineChart>
      <c:catAx>
        <c:axId val="380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42796"/>
        <c:crosses val="autoZero"/>
        <c:auto val="1"/>
        <c:lblOffset val="100"/>
        <c:noMultiLvlLbl val="0"/>
      </c:catAx>
      <c:valAx>
        <c:axId val="34242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475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535"/>
          <c:w val="0.969"/>
          <c:h val="0.134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U.S. Aggregate Energy Intensity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MBTU's per 1996 Constant Dollar of Chained GDP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"/>
          <c:y val="0.20375"/>
          <c:w val="0.97025"/>
          <c:h val="0.671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Sheet1!$C$574</c:f>
              <c:strCache>
                <c:ptCount val="1"/>
                <c:pt idx="0">
                  <c:v>Aggregate Energy Intensity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Aggregate Energy Intensity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Aggregate Energy Intensity Trend
y = 0.0085x</a:t>
                    </a:r>
                    <a:r>
                      <a:rPr lang="en-US" cap="none" sz="8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 - 0.5226x + 19.29
R</a:t>
                    </a:r>
                    <a:r>
                      <a:rPr lang="en-US" cap="none" sz="8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75" b="0" i="0" u="none" baseline="0">
                        <a:latin typeface="Helv"/>
                        <a:ea typeface="Helv"/>
                        <a:cs typeface="Helv"/>
                      </a:rPr>
                      <a:t> = 0.9816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Sheet1!$B$575:$B$612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Sheet1!$C$575:$C$612</c:f>
              <c:numCache>
                <c:ptCount val="38"/>
                <c:pt idx="0">
                  <c:v>18.384828054518117</c:v>
                </c:pt>
                <c:pt idx="1">
                  <c:v>18.072700658697244</c:v>
                </c:pt>
                <c:pt idx="2">
                  <c:v>17.638331211438643</c:v>
                </c:pt>
                <c:pt idx="3">
                  <c:v>17.64315699144189</c:v>
                </c:pt>
                <c:pt idx="4">
                  <c:v>17.315040560308525</c:v>
                </c:pt>
                <c:pt idx="5">
                  <c:v>16.83044154098223</c:v>
                </c:pt>
                <c:pt idx="6">
                  <c:v>16.498849779116874</c:v>
                </c:pt>
                <c:pt idx="7">
                  <c:v>16.004203309596196</c:v>
                </c:pt>
                <c:pt idx="8">
                  <c:v>15.249751045608445</c:v>
                </c:pt>
                <c:pt idx="9">
                  <c:v>14.868782143800948</c:v>
                </c:pt>
                <c:pt idx="10">
                  <c:v>14.285408101630848</c:v>
                </c:pt>
                <c:pt idx="11">
                  <c:v>13.981690038509047</c:v>
                </c:pt>
                <c:pt idx="12">
                  <c:v>13.42953595354288</c:v>
                </c:pt>
                <c:pt idx="13">
                  <c:v>13.03446992760977</c:v>
                </c:pt>
                <c:pt idx="14">
                  <c:v>13.026188801465656</c:v>
                </c:pt>
                <c:pt idx="15">
                  <c:v>13.043778657119528</c:v>
                </c:pt>
                <c:pt idx="16">
                  <c:v>12.835189174428836</c:v>
                </c:pt>
                <c:pt idx="17">
                  <c:v>12.556135380945282</c:v>
                </c:pt>
                <c:pt idx="18">
                  <c:v>12.622221556527471</c:v>
                </c:pt>
                <c:pt idx="19">
                  <c:v>12.426017441860465</c:v>
                </c:pt>
                <c:pt idx="20">
                  <c:v>12.35819669809985</c:v>
                </c:pt>
                <c:pt idx="21">
                  <c:v>12.13835622031384</c:v>
                </c:pt>
                <c:pt idx="22">
                  <c:v>12.052811580370635</c:v>
                </c:pt>
                <c:pt idx="23">
                  <c:v>12.01837915322787</c:v>
                </c:pt>
                <c:pt idx="24">
                  <c:v>11.557938599178872</c:v>
                </c:pt>
                <c:pt idx="25">
                  <c:v>11.1014948859166</c:v>
                </c:pt>
                <c:pt idx="26">
                  <c:v>10.927578359133825</c:v>
                </c:pt>
              </c:numCache>
            </c:numRef>
          </c:val>
          <c:smooth val="0"/>
        </c:ser>
        <c:marker val="1"/>
        <c:axId val="39749709"/>
        <c:axId val="22203062"/>
      </c:lineChart>
      <c:catAx>
        <c:axId val="39749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03062"/>
        <c:crosses val="autoZero"/>
        <c:auto val="1"/>
        <c:lblOffset val="100"/>
        <c:noMultiLvlLbl val="0"/>
      </c:catAx>
      <c:valAx>
        <c:axId val="22203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4970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0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U.S. Vehicle Fuel Efficiency Rates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625"/>
          <c:w val="0.98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Sheet1!$G$574</c:f>
              <c:strCache>
                <c:ptCount val="1"/>
                <c:pt idx="0">
                  <c:v>Auto MPG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Sheet1!$B$575:$B$613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Sheet1!$G$575:$G$612</c:f>
              <c:numCache>
                <c:ptCount val="38"/>
                <c:pt idx="0">
                  <c:v>13.4</c:v>
                </c:pt>
                <c:pt idx="1">
                  <c:v>13.6</c:v>
                </c:pt>
                <c:pt idx="2">
                  <c:v>14</c:v>
                </c:pt>
                <c:pt idx="3">
                  <c:v>13.8</c:v>
                </c:pt>
                <c:pt idx="4">
                  <c:v>14.1</c:v>
                </c:pt>
                <c:pt idx="5">
                  <c:v>14.3</c:v>
                </c:pt>
                <c:pt idx="6">
                  <c:v>14.6</c:v>
                </c:pt>
                <c:pt idx="7">
                  <c:v>16</c:v>
                </c:pt>
                <c:pt idx="8">
                  <c:v>16.5</c:v>
                </c:pt>
                <c:pt idx="9">
                  <c:v>16.9</c:v>
                </c:pt>
                <c:pt idx="10">
                  <c:v>17.1</c:v>
                </c:pt>
                <c:pt idx="11">
                  <c:v>17.4</c:v>
                </c:pt>
                <c:pt idx="12">
                  <c:v>17.5</c:v>
                </c:pt>
                <c:pt idx="13">
                  <c:v>17.4</c:v>
                </c:pt>
                <c:pt idx="14">
                  <c:v>18</c:v>
                </c:pt>
                <c:pt idx="15">
                  <c:v>18.8</c:v>
                </c:pt>
                <c:pt idx="16">
                  <c:v>19</c:v>
                </c:pt>
                <c:pt idx="17">
                  <c:v>20.2</c:v>
                </c:pt>
                <c:pt idx="18">
                  <c:v>21.1</c:v>
                </c:pt>
                <c:pt idx="19">
                  <c:v>21</c:v>
                </c:pt>
                <c:pt idx="20">
                  <c:v>20.5</c:v>
                </c:pt>
                <c:pt idx="21">
                  <c:v>20.7</c:v>
                </c:pt>
                <c:pt idx="22">
                  <c:v>21.1</c:v>
                </c:pt>
                <c:pt idx="23">
                  <c:v>21.2</c:v>
                </c:pt>
                <c:pt idx="24">
                  <c:v>21.5</c:v>
                </c:pt>
                <c:pt idx="25">
                  <c:v>21.6</c:v>
                </c:pt>
                <c:pt idx="26">
                  <c:v>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Sheet1!$H$574</c:f>
              <c:strCache>
                <c:ptCount val="1"/>
                <c:pt idx="0">
                  <c:v>Van MPG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Sheet1!$B$575:$B$613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Sheet1!$H$575:$H$612</c:f>
              <c:numCache>
                <c:ptCount val="38"/>
                <c:pt idx="0">
                  <c:v>10.5</c:v>
                </c:pt>
                <c:pt idx="1">
                  <c:v>11</c:v>
                </c:pt>
                <c:pt idx="2">
                  <c:v>10.5</c:v>
                </c:pt>
                <c:pt idx="3">
                  <c:v>10.8</c:v>
                </c:pt>
                <c:pt idx="4">
                  <c:v>11.2</c:v>
                </c:pt>
                <c:pt idx="5">
                  <c:v>11.6</c:v>
                </c:pt>
                <c:pt idx="6">
                  <c:v>11.9</c:v>
                </c:pt>
                <c:pt idx="7">
                  <c:v>12.2</c:v>
                </c:pt>
                <c:pt idx="8">
                  <c:v>12.5</c:v>
                </c:pt>
                <c:pt idx="9">
                  <c:v>13.5</c:v>
                </c:pt>
                <c:pt idx="10">
                  <c:v>13.7</c:v>
                </c:pt>
                <c:pt idx="11">
                  <c:v>14</c:v>
                </c:pt>
                <c:pt idx="12">
                  <c:v>14.3</c:v>
                </c:pt>
                <c:pt idx="13">
                  <c:v>14.6</c:v>
                </c:pt>
                <c:pt idx="14">
                  <c:v>14.9</c:v>
                </c:pt>
                <c:pt idx="15">
                  <c:v>15.4</c:v>
                </c:pt>
                <c:pt idx="16">
                  <c:v>16.1</c:v>
                </c:pt>
                <c:pt idx="17">
                  <c:v>16.1</c:v>
                </c:pt>
                <c:pt idx="18">
                  <c:v>17</c:v>
                </c:pt>
                <c:pt idx="19">
                  <c:v>17.3</c:v>
                </c:pt>
                <c:pt idx="20">
                  <c:v>17.4</c:v>
                </c:pt>
                <c:pt idx="21">
                  <c:v>17.3</c:v>
                </c:pt>
                <c:pt idx="22">
                  <c:v>17.3</c:v>
                </c:pt>
                <c:pt idx="23">
                  <c:v>17.2</c:v>
                </c:pt>
                <c:pt idx="24">
                  <c:v>17.2</c:v>
                </c:pt>
                <c:pt idx="25">
                  <c:v>17.2</c:v>
                </c:pt>
                <c:pt idx="26">
                  <c:v>17.1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Sheet1!$I$574</c:f>
              <c:strCache>
                <c:ptCount val="1"/>
                <c:pt idx="0">
                  <c:v>Truck MPG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Sheet1!$B$575:$B$613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Sheet1!$I$575:$I$612</c:f>
              <c:numCache>
                <c:ptCount val="38"/>
                <c:pt idx="0">
                  <c:v>5.5</c:v>
                </c:pt>
                <c:pt idx="1">
                  <c:v>5.5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5.5</c:v>
                </c:pt>
                <c:pt idx="6">
                  <c:v>5.5</c:v>
                </c:pt>
                <c:pt idx="7">
                  <c:v>5.4</c:v>
                </c:pt>
                <c:pt idx="8">
                  <c:v>5.3</c:v>
                </c:pt>
                <c:pt idx="9">
                  <c:v>5.5</c:v>
                </c:pt>
                <c:pt idx="10">
                  <c:v>5.6</c:v>
                </c:pt>
                <c:pt idx="11">
                  <c:v>5.7</c:v>
                </c:pt>
                <c:pt idx="12">
                  <c:v>5.8</c:v>
                </c:pt>
                <c:pt idx="13">
                  <c:v>5.8</c:v>
                </c:pt>
                <c:pt idx="14">
                  <c:v>5.9</c:v>
                </c:pt>
                <c:pt idx="15">
                  <c:v>6</c:v>
                </c:pt>
                <c:pt idx="16">
                  <c:v>6.1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6.1</c:v>
                </c:pt>
                <c:pt idx="21">
                  <c:v>6.1</c:v>
                </c:pt>
                <c:pt idx="22">
                  <c:v>6.1</c:v>
                </c:pt>
                <c:pt idx="23">
                  <c:v>6.2</c:v>
                </c:pt>
                <c:pt idx="24">
                  <c:v>6.4</c:v>
                </c:pt>
                <c:pt idx="25">
                  <c:v>6.1</c:v>
                </c:pt>
                <c:pt idx="26">
                  <c:v>6.1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Sheet1!$J$574</c:f>
              <c:strCache>
                <c:ptCount val="1"/>
                <c:pt idx="0">
                  <c:v>All MPG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name>All Vehicle MPG Fuel Efficiency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U.S. All Vehicle MPG Fuel Efficiency Trend
y = -0.0044x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+ 0.3581x + 10.905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0.9631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Sheet1!$B$575:$B$613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Sheet1!$J$575:$J$612</c:f>
              <c:numCache>
                <c:ptCount val="38"/>
                <c:pt idx="0">
                  <c:v>11.9</c:v>
                </c:pt>
                <c:pt idx="1">
                  <c:v>12</c:v>
                </c:pt>
                <c:pt idx="2">
                  <c:v>12.2</c:v>
                </c:pt>
                <c:pt idx="3">
                  <c:v>12.1</c:v>
                </c:pt>
                <c:pt idx="4">
                  <c:v>12.3</c:v>
                </c:pt>
                <c:pt idx="5">
                  <c:v>12.4</c:v>
                </c:pt>
                <c:pt idx="6">
                  <c:v>12.5</c:v>
                </c:pt>
                <c:pt idx="7">
                  <c:v>13.3</c:v>
                </c:pt>
                <c:pt idx="8">
                  <c:v>13.6</c:v>
                </c:pt>
                <c:pt idx="9">
                  <c:v>14.1</c:v>
                </c:pt>
                <c:pt idx="10">
                  <c:v>14.2</c:v>
                </c:pt>
                <c:pt idx="11">
                  <c:v>14.5</c:v>
                </c:pt>
                <c:pt idx="12">
                  <c:v>14.6</c:v>
                </c:pt>
                <c:pt idx="13">
                  <c:v>14.7</c:v>
                </c:pt>
                <c:pt idx="14">
                  <c:v>15.1</c:v>
                </c:pt>
                <c:pt idx="15">
                  <c:v>15.6</c:v>
                </c:pt>
                <c:pt idx="16">
                  <c:v>15.9</c:v>
                </c:pt>
                <c:pt idx="17">
                  <c:v>16.4</c:v>
                </c:pt>
                <c:pt idx="18">
                  <c:v>16.9</c:v>
                </c:pt>
                <c:pt idx="19">
                  <c:v>16.9</c:v>
                </c:pt>
                <c:pt idx="20">
                  <c:v>16.7</c:v>
                </c:pt>
                <c:pt idx="21">
                  <c:v>16.7</c:v>
                </c:pt>
                <c:pt idx="22">
                  <c:v>16.8</c:v>
                </c:pt>
                <c:pt idx="23">
                  <c:v>16.9</c:v>
                </c:pt>
                <c:pt idx="24">
                  <c:v>17</c:v>
                </c:pt>
                <c:pt idx="25">
                  <c:v>16.9</c:v>
                </c:pt>
                <c:pt idx="26">
                  <c:v>16.8</c:v>
                </c:pt>
              </c:numCache>
            </c:numRef>
          </c:val>
          <c:smooth val="0"/>
        </c:ser>
        <c:marker val="1"/>
        <c:axId val="65609831"/>
        <c:axId val="53617568"/>
      </c:lineChart>
      <c:catAx>
        <c:axId val="6560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17568"/>
        <c:crosses val="autoZero"/>
        <c:auto val="1"/>
        <c:lblOffset val="100"/>
        <c:noMultiLvlLbl val="0"/>
      </c:catAx>
      <c:valAx>
        <c:axId val="53617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0983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525"/>
          <c:y val="0.918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Global Crude Oil Production</a:t>
            </a:r>
            <a:r>
              <a:rPr lang="en-US" cap="none" sz="11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in thousands of barrels per day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"/>
          <c:y val="0.14575"/>
          <c:w val="0.97"/>
          <c:h val="0.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Sheet1!$C$616</c:f>
              <c:strCache>
                <c:ptCount val="1"/>
                <c:pt idx="0">
                  <c:v>OPEC</c:v>
                </c:pt>
              </c:strCache>
            </c:strRef>
          </c:tx>
          <c:spPr>
            <a:pattFill prst="dkUpDiag">
              <a:fgClr>
                <a:srgbClr val="9999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Sheet1!$B$617:$B$654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Sheet1!$C$617:$C$654</c:f>
              <c:numCache>
                <c:ptCount val="38"/>
                <c:pt idx="0">
                  <c:v>30629</c:v>
                </c:pt>
                <c:pt idx="1">
                  <c:v>30351</c:v>
                </c:pt>
                <c:pt idx="2">
                  <c:v>26771</c:v>
                </c:pt>
                <c:pt idx="3">
                  <c:v>30327</c:v>
                </c:pt>
                <c:pt idx="4">
                  <c:v>30893</c:v>
                </c:pt>
                <c:pt idx="5">
                  <c:v>29464</c:v>
                </c:pt>
                <c:pt idx="6">
                  <c:v>30581</c:v>
                </c:pt>
                <c:pt idx="7">
                  <c:v>26606</c:v>
                </c:pt>
                <c:pt idx="8">
                  <c:v>22481</c:v>
                </c:pt>
                <c:pt idx="9">
                  <c:v>18778</c:v>
                </c:pt>
                <c:pt idx="10">
                  <c:v>17497</c:v>
                </c:pt>
                <c:pt idx="11">
                  <c:v>17442</c:v>
                </c:pt>
                <c:pt idx="12">
                  <c:v>16181</c:v>
                </c:pt>
                <c:pt idx="13">
                  <c:v>18275</c:v>
                </c:pt>
                <c:pt idx="14">
                  <c:v>18517</c:v>
                </c:pt>
                <c:pt idx="15">
                  <c:v>20324</c:v>
                </c:pt>
                <c:pt idx="16">
                  <c:v>22071</c:v>
                </c:pt>
                <c:pt idx="17">
                  <c:v>23195</c:v>
                </c:pt>
                <c:pt idx="18">
                  <c:v>23275</c:v>
                </c:pt>
                <c:pt idx="19">
                  <c:v>24398</c:v>
                </c:pt>
                <c:pt idx="20">
                  <c:v>25119</c:v>
                </c:pt>
                <c:pt idx="21">
                  <c:v>25510</c:v>
                </c:pt>
                <c:pt idx="22">
                  <c:v>26004</c:v>
                </c:pt>
                <c:pt idx="23">
                  <c:v>26461</c:v>
                </c:pt>
                <c:pt idx="24">
                  <c:v>28320</c:v>
                </c:pt>
                <c:pt idx="25">
                  <c:v>28774</c:v>
                </c:pt>
                <c:pt idx="26">
                  <c:v>27641</c:v>
                </c:pt>
                <c:pt idx="27">
                  <c:v>28990</c:v>
                </c:pt>
              </c:numCache>
            </c:numRef>
          </c:val>
        </c:ser>
        <c:ser>
          <c:idx val="1"/>
          <c:order val="1"/>
          <c:tx>
            <c:strRef>
              <c:f>Sheet1!$D$616</c:f>
              <c:strCache>
                <c:ptCount val="1"/>
                <c:pt idx="0">
                  <c:v>Non-OPEC</c:v>
                </c:pt>
              </c:strCache>
            </c:strRef>
          </c:tx>
          <c:spPr>
            <a:pattFill prst="dkDnDiag">
              <a:fgClr>
                <a:srgbClr val="FF00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Sheet1!$B$617:$B$654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Sheet1!$D$617:$D$654</c:f>
              <c:numCache>
                <c:ptCount val="38"/>
                <c:pt idx="0">
                  <c:v>25050</c:v>
                </c:pt>
                <c:pt idx="1">
                  <c:v>25366</c:v>
                </c:pt>
                <c:pt idx="2">
                  <c:v>26058</c:v>
                </c:pt>
                <c:pt idx="3">
                  <c:v>27018</c:v>
                </c:pt>
                <c:pt idx="4">
                  <c:v>28814</c:v>
                </c:pt>
                <c:pt idx="5">
                  <c:v>30094</c:v>
                </c:pt>
                <c:pt idx="6">
                  <c:v>32094</c:v>
                </c:pt>
                <c:pt idx="7">
                  <c:v>32994</c:v>
                </c:pt>
                <c:pt idx="8">
                  <c:v>33595</c:v>
                </c:pt>
                <c:pt idx="9">
                  <c:v>34703</c:v>
                </c:pt>
                <c:pt idx="10">
                  <c:v>35759</c:v>
                </c:pt>
                <c:pt idx="11">
                  <c:v>37074</c:v>
                </c:pt>
                <c:pt idx="12">
                  <c:v>37801</c:v>
                </c:pt>
                <c:pt idx="13">
                  <c:v>37952</c:v>
                </c:pt>
                <c:pt idx="14">
                  <c:v>38149</c:v>
                </c:pt>
                <c:pt idx="15">
                  <c:v>38413</c:v>
                </c:pt>
                <c:pt idx="16">
                  <c:v>37792</c:v>
                </c:pt>
                <c:pt idx="17">
                  <c:v>37371</c:v>
                </c:pt>
                <c:pt idx="18">
                  <c:v>36932</c:v>
                </c:pt>
                <c:pt idx="19">
                  <c:v>35815</c:v>
                </c:pt>
                <c:pt idx="20">
                  <c:v>35117</c:v>
                </c:pt>
                <c:pt idx="21">
                  <c:v>35481</c:v>
                </c:pt>
                <c:pt idx="22">
                  <c:v>36331</c:v>
                </c:pt>
                <c:pt idx="23">
                  <c:v>37250</c:v>
                </c:pt>
                <c:pt idx="24">
                  <c:v>38100</c:v>
                </c:pt>
                <c:pt idx="25">
                  <c:v>38188</c:v>
                </c:pt>
                <c:pt idx="26">
                  <c:v>38037</c:v>
                </c:pt>
                <c:pt idx="27">
                  <c:v>38821</c:v>
                </c:pt>
              </c:numCache>
            </c:numRef>
          </c:val>
        </c:ser>
        <c:overlap val="100"/>
        <c:gapWidth val="50"/>
        <c:axId val="12796065"/>
        <c:axId val="48055722"/>
      </c:barChart>
      <c:catAx>
        <c:axId val="1279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8055722"/>
        <c:crosses val="autoZero"/>
        <c:auto val="1"/>
        <c:lblOffset val="100"/>
        <c:noMultiLvlLbl val="0"/>
      </c:catAx>
      <c:valAx>
        <c:axId val="48055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279606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05"/>
          <c:y val="0.90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Helv"/>
          <a:ea typeface="Helv"/>
          <a:cs typeface="Helv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Relative Distribution of Global Crude Oil Production</a:t>
            </a:r>
          </a:p>
        </c:rich>
      </c:tx>
      <c:layout>
        <c:manualLayout>
          <c:xMode val="factor"/>
          <c:yMode val="factor"/>
          <c:x val="0"/>
          <c:y val="-0.01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25"/>
          <c:w val="0.987"/>
          <c:h val="0.7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Sheet1!$C$616</c:f>
              <c:strCache>
                <c:ptCount val="1"/>
                <c:pt idx="0">
                  <c:v>OPEC</c:v>
                </c:pt>
              </c:strCache>
            </c:strRef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Sheet1!$B$617:$B$654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Sheet1!$C$617:$C$654</c:f>
              <c:numCache>
                <c:ptCount val="38"/>
                <c:pt idx="0">
                  <c:v>30629</c:v>
                </c:pt>
                <c:pt idx="1">
                  <c:v>30351</c:v>
                </c:pt>
                <c:pt idx="2">
                  <c:v>26771</c:v>
                </c:pt>
                <c:pt idx="3">
                  <c:v>30327</c:v>
                </c:pt>
                <c:pt idx="4">
                  <c:v>30893</c:v>
                </c:pt>
                <c:pt idx="5">
                  <c:v>29464</c:v>
                </c:pt>
                <c:pt idx="6">
                  <c:v>30581</c:v>
                </c:pt>
                <c:pt idx="7">
                  <c:v>26606</c:v>
                </c:pt>
                <c:pt idx="8">
                  <c:v>22481</c:v>
                </c:pt>
                <c:pt idx="9">
                  <c:v>18778</c:v>
                </c:pt>
                <c:pt idx="10">
                  <c:v>17497</c:v>
                </c:pt>
                <c:pt idx="11">
                  <c:v>17442</c:v>
                </c:pt>
                <c:pt idx="12">
                  <c:v>16181</c:v>
                </c:pt>
                <c:pt idx="13">
                  <c:v>18275</c:v>
                </c:pt>
                <c:pt idx="14">
                  <c:v>18517</c:v>
                </c:pt>
                <c:pt idx="15">
                  <c:v>20324</c:v>
                </c:pt>
                <c:pt idx="16">
                  <c:v>22071</c:v>
                </c:pt>
                <c:pt idx="17">
                  <c:v>23195</c:v>
                </c:pt>
                <c:pt idx="18">
                  <c:v>23275</c:v>
                </c:pt>
                <c:pt idx="19">
                  <c:v>24398</c:v>
                </c:pt>
                <c:pt idx="20">
                  <c:v>25119</c:v>
                </c:pt>
                <c:pt idx="21">
                  <c:v>25510</c:v>
                </c:pt>
                <c:pt idx="22">
                  <c:v>26004</c:v>
                </c:pt>
                <c:pt idx="23">
                  <c:v>26461</c:v>
                </c:pt>
                <c:pt idx="24">
                  <c:v>28320</c:v>
                </c:pt>
                <c:pt idx="25">
                  <c:v>28774</c:v>
                </c:pt>
                <c:pt idx="26">
                  <c:v>27641</c:v>
                </c:pt>
                <c:pt idx="27">
                  <c:v>28990</c:v>
                </c:pt>
              </c:numCache>
            </c:numRef>
          </c:val>
        </c:ser>
        <c:ser>
          <c:idx val="1"/>
          <c:order val="1"/>
          <c:tx>
            <c:strRef>
              <c:f>Sheet1!$D$616</c:f>
              <c:strCache>
                <c:ptCount val="1"/>
                <c:pt idx="0">
                  <c:v>Non-OPEC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Sheet1!$B$617:$B$654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Sheet1!$D$617:$D$654</c:f>
              <c:numCache>
                <c:ptCount val="38"/>
                <c:pt idx="0">
                  <c:v>25050</c:v>
                </c:pt>
                <c:pt idx="1">
                  <c:v>25366</c:v>
                </c:pt>
                <c:pt idx="2">
                  <c:v>26058</c:v>
                </c:pt>
                <c:pt idx="3">
                  <c:v>27018</c:v>
                </c:pt>
                <c:pt idx="4">
                  <c:v>28814</c:v>
                </c:pt>
                <c:pt idx="5">
                  <c:v>30094</c:v>
                </c:pt>
                <c:pt idx="6">
                  <c:v>32094</c:v>
                </c:pt>
                <c:pt idx="7">
                  <c:v>32994</c:v>
                </c:pt>
                <c:pt idx="8">
                  <c:v>33595</c:v>
                </c:pt>
                <c:pt idx="9">
                  <c:v>34703</c:v>
                </c:pt>
                <c:pt idx="10">
                  <c:v>35759</c:v>
                </c:pt>
                <c:pt idx="11">
                  <c:v>37074</c:v>
                </c:pt>
                <c:pt idx="12">
                  <c:v>37801</c:v>
                </c:pt>
                <c:pt idx="13">
                  <c:v>37952</c:v>
                </c:pt>
                <c:pt idx="14">
                  <c:v>38149</c:v>
                </c:pt>
                <c:pt idx="15">
                  <c:v>38413</c:v>
                </c:pt>
                <c:pt idx="16">
                  <c:v>37792</c:v>
                </c:pt>
                <c:pt idx="17">
                  <c:v>37371</c:v>
                </c:pt>
                <c:pt idx="18">
                  <c:v>36932</c:v>
                </c:pt>
                <c:pt idx="19">
                  <c:v>35815</c:v>
                </c:pt>
                <c:pt idx="20">
                  <c:v>35117</c:v>
                </c:pt>
                <c:pt idx="21">
                  <c:v>35481</c:v>
                </c:pt>
                <c:pt idx="22">
                  <c:v>36331</c:v>
                </c:pt>
                <c:pt idx="23">
                  <c:v>37250</c:v>
                </c:pt>
                <c:pt idx="24">
                  <c:v>38100</c:v>
                </c:pt>
                <c:pt idx="25">
                  <c:v>38188</c:v>
                </c:pt>
                <c:pt idx="26">
                  <c:v>38037</c:v>
                </c:pt>
                <c:pt idx="27">
                  <c:v>38821</c:v>
                </c:pt>
              </c:numCache>
            </c:numRef>
          </c:val>
        </c:ser>
        <c:overlap val="100"/>
        <c:gapWidth val="60"/>
        <c:axId val="29848315"/>
        <c:axId val="199380"/>
      </c:barChart>
      <c:catAx>
        <c:axId val="2984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380"/>
        <c:crosses val="autoZero"/>
        <c:auto val="1"/>
        <c:lblOffset val="100"/>
        <c:noMultiLvlLbl val="0"/>
      </c:catAx>
      <c:valAx>
        <c:axId val="199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4831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325"/>
          <c:y val="0.923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OPEC Nominal and Constant Dollar Crude Oil Prices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"/>
          <c:y val="0.1205"/>
          <c:w val="0.9505"/>
          <c:h val="0.7615"/>
        </c:manualLayout>
      </c:layout>
      <c:lineChart>
        <c:grouping val="standard"/>
        <c:varyColors val="0"/>
        <c:ser>
          <c:idx val="0"/>
          <c:order val="0"/>
          <c:tx>
            <c:strRef>
              <c:f>Sheet1!$F$616</c:f>
              <c:strCache>
                <c:ptCount val="1"/>
                <c:pt idx="0">
                  <c:v>OPEC Nominal Crude Price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OPEC Nominal Crude Price 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FF"/>
                        </a:solidFill>
                        <a:latin typeface="Helv"/>
                        <a:ea typeface="Helv"/>
                        <a:cs typeface="Helv"/>
                      </a:rPr>
                      <a:t>OPEC Nominal Crude Price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:
y = 0.0112x3 - 0.5411x2 + 7.3177x - 3.4846
R2 = 0.5491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Sheet1!$B$617:$B$654</c:f>
              <c:numCache>
                <c:ptCount val="2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</c:numCache>
            </c:numRef>
          </c:cat>
          <c:val>
            <c:numRef>
              <c:f>Sheet1!$F$617:$F$644</c:f>
              <c:numCache>
                <c:ptCount val="28"/>
                <c:pt idx="0">
                  <c:v>6.85</c:v>
                </c:pt>
                <c:pt idx="1">
                  <c:v>12.49</c:v>
                </c:pt>
                <c:pt idx="2">
                  <c:v>12.7</c:v>
                </c:pt>
                <c:pt idx="3">
                  <c:v>13.32</c:v>
                </c:pt>
                <c:pt idx="4">
                  <c:v>14.35</c:v>
                </c:pt>
                <c:pt idx="5">
                  <c:v>14.34</c:v>
                </c:pt>
                <c:pt idx="6">
                  <c:v>21.29</c:v>
                </c:pt>
                <c:pt idx="7">
                  <c:v>33.56</c:v>
                </c:pt>
                <c:pt idx="8">
                  <c:v>36.6</c:v>
                </c:pt>
                <c:pt idx="9">
                  <c:v>34.81</c:v>
                </c:pt>
                <c:pt idx="10">
                  <c:v>29.84</c:v>
                </c:pt>
                <c:pt idx="11">
                  <c:v>29.06</c:v>
                </c:pt>
                <c:pt idx="12">
                  <c:v>26.86</c:v>
                </c:pt>
                <c:pt idx="13">
                  <c:v>13.46</c:v>
                </c:pt>
                <c:pt idx="14">
                  <c:v>17.64</c:v>
                </c:pt>
                <c:pt idx="15">
                  <c:v>14.18</c:v>
                </c:pt>
                <c:pt idx="16">
                  <c:v>17.78</c:v>
                </c:pt>
                <c:pt idx="17">
                  <c:v>21.23</c:v>
                </c:pt>
                <c:pt idx="18">
                  <c:v>18.08</c:v>
                </c:pt>
                <c:pt idx="19">
                  <c:v>17.81</c:v>
                </c:pt>
                <c:pt idx="20">
                  <c:v>15.68</c:v>
                </c:pt>
                <c:pt idx="21">
                  <c:v>15.08</c:v>
                </c:pt>
                <c:pt idx="22">
                  <c:v>16.61</c:v>
                </c:pt>
                <c:pt idx="23">
                  <c:v>20.14</c:v>
                </c:pt>
                <c:pt idx="24">
                  <c:v>17.73</c:v>
                </c:pt>
                <c:pt idx="25">
                  <c:v>11.46</c:v>
                </c:pt>
                <c:pt idx="26">
                  <c:v>16.94</c:v>
                </c:pt>
                <c:pt idx="27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Sheet1!$G$616</c:f>
              <c:strCache>
                <c:ptCount val="1"/>
                <c:pt idx="0">
                  <c:v>OPEC Real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OPEC Real Price Trend</c:nam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  <a:latin typeface="Helv"/>
                        <a:ea typeface="Helv"/>
                        <a:cs typeface="Helv"/>
                      </a:rPr>
                      <a:t>OPEC Real Crude Price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:
y = 0.0207x3 - 0.9658x2 + 11.291x + 12.358
R2 = 0.7332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Sheet1!$B$617:$B$654</c:f>
              <c:numCache>
                <c:ptCount val="2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</c:numCache>
            </c:numRef>
          </c:cat>
          <c:val>
            <c:numRef>
              <c:f>Sheet1!$G$617:$G$644</c:f>
              <c:numCache>
                <c:ptCount val="28"/>
                <c:pt idx="0">
                  <c:v>21.402027027027025</c:v>
                </c:pt>
                <c:pt idx="1">
                  <c:v>40.218052738336716</c:v>
                </c:pt>
                <c:pt idx="2">
                  <c:v>36.886617100371744</c:v>
                </c:pt>
                <c:pt idx="3">
                  <c:v>37.614235500878735</c:v>
                </c:pt>
                <c:pt idx="4">
                  <c:v>38.37871287128712</c:v>
                </c:pt>
                <c:pt idx="5">
                  <c:v>35.72469325153374</c:v>
                </c:pt>
                <c:pt idx="6">
                  <c:v>47.92011019283747</c:v>
                </c:pt>
                <c:pt idx="7">
                  <c:v>68.40716019417476</c:v>
                </c:pt>
                <c:pt idx="8">
                  <c:v>67.7090209020902</c:v>
                </c:pt>
                <c:pt idx="9">
                  <c:v>60.715025906735754</c:v>
                </c:pt>
                <c:pt idx="10">
                  <c:v>50.005020080321295</c:v>
                </c:pt>
                <c:pt idx="11">
                  <c:v>46.8070259865255</c:v>
                </c:pt>
                <c:pt idx="12">
                  <c:v>41.749535315985135</c:v>
                </c:pt>
                <c:pt idx="13">
                  <c:v>19.495894160583944</c:v>
                </c:pt>
                <c:pt idx="14">
                  <c:v>25.310299295774648</c:v>
                </c:pt>
                <c:pt idx="15">
                  <c:v>19.866863905325445</c:v>
                </c:pt>
                <c:pt idx="16">
                  <c:v>24.076612903225808</c:v>
                </c:pt>
                <c:pt idx="17">
                  <c:v>27.314460596786535</c:v>
                </c:pt>
                <c:pt idx="18">
                  <c:v>21.830029368575623</c:v>
                </c:pt>
                <c:pt idx="19">
                  <c:v>21.0424091233072</c:v>
                </c:pt>
                <c:pt idx="20">
                  <c:v>17.899653979238753</c:v>
                </c:pt>
                <c:pt idx="21">
                  <c:v>16.531713900134953</c:v>
                </c:pt>
                <c:pt idx="22">
                  <c:v>17.63779527559055</c:v>
                </c:pt>
                <c:pt idx="23">
                  <c:v>21.12492033142129</c:v>
                </c:pt>
                <c:pt idx="24">
                  <c:v>17.728971962616825</c:v>
                </c:pt>
                <c:pt idx="25">
                  <c:v>10.950920245398773</c:v>
                </c:pt>
                <c:pt idx="26">
                  <c:v>16.70168067226891</c:v>
                </c:pt>
                <c:pt idx="27">
                  <c:v>27</c:v>
                </c:pt>
              </c:numCache>
            </c:numRef>
          </c:val>
          <c:smooth val="0"/>
        </c:ser>
        <c:marker val="1"/>
        <c:axId val="1794421"/>
        <c:axId val="16149790"/>
      </c:lineChart>
      <c:catAx>
        <c:axId val="1794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49790"/>
        <c:crosses val="autoZero"/>
        <c:auto val="1"/>
        <c:lblOffset val="100"/>
        <c:noMultiLvlLbl val="0"/>
      </c:catAx>
      <c:valAx>
        <c:axId val="1614979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79442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65"/>
          <c:y val="0.904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OPEC Real Total Revenue</a:t>
            </a: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,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in millions of $U.S. 2000 Constant Dollars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5725"/>
          <c:w val="0.98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Sheet1!$J$616</c:f>
              <c:strCache>
                <c:ptCount val="1"/>
                <c:pt idx="0">
                  <c:v>OPEC Real Total Revenue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OPEC Real Total Revenue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OPEC Real Total Revenue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:
y = 167549x3 - 7E+06x2 + 7E+07x + 3E+08
R2 = 0.6972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Sheet1!$B$617:$B$654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Sheet1!$J$617:$J$654</c:f>
              <c:numCache>
                <c:ptCount val="38"/>
                <c:pt idx="0">
                  <c:v>239265780.32094592</c:v>
                </c:pt>
                <c:pt idx="1">
                  <c:v>445540213.31135905</c:v>
                </c:pt>
                <c:pt idx="2">
                  <c:v>360434443.63382894</c:v>
                </c:pt>
                <c:pt idx="3">
                  <c:v>416365325.81282955</c:v>
                </c:pt>
                <c:pt idx="4">
                  <c:v>432756255.50742567</c:v>
                </c:pt>
                <c:pt idx="5">
                  <c:v>384196212.11656445</c:v>
                </c:pt>
                <c:pt idx="6">
                  <c:v>534887384.7796144</c:v>
                </c:pt>
                <c:pt idx="7">
                  <c:v>664314930.006068</c:v>
                </c:pt>
                <c:pt idx="8">
                  <c:v>555590772.0984598</c:v>
                </c:pt>
                <c:pt idx="9">
                  <c:v>416138966.11398965</c:v>
                </c:pt>
                <c:pt idx="10">
                  <c:v>319352310.26606435</c:v>
                </c:pt>
                <c:pt idx="11">
                  <c:v>297988973.7487969</c:v>
                </c:pt>
                <c:pt idx="12">
                  <c:v>246575469.29600376</c:v>
                </c:pt>
                <c:pt idx="13">
                  <c:v>130044925.01140513</c:v>
                </c:pt>
                <c:pt idx="14">
                  <c:v>171064846.40184858</c:v>
                </c:pt>
                <c:pt idx="15">
                  <c:v>147377561.83431953</c:v>
                </c:pt>
                <c:pt idx="16">
                  <c:v>193959147.03629035</c:v>
                </c:pt>
                <c:pt idx="17">
                  <c:v>231249003.44299924</c:v>
                </c:pt>
                <c:pt idx="18">
                  <c:v>185454285.74706313</c:v>
                </c:pt>
                <c:pt idx="19">
                  <c:v>187388334.6935139</c:v>
                </c:pt>
                <c:pt idx="20">
                  <c:v>164111814.03114185</c:v>
                </c:pt>
                <c:pt idx="21">
                  <c:v>153929267.88124156</c:v>
                </c:pt>
                <c:pt idx="22">
                  <c:v>167408428.34645668</c:v>
                </c:pt>
                <c:pt idx="23">
                  <c:v>204030078.66475466</c:v>
                </c:pt>
                <c:pt idx="24">
                  <c:v>183260837.3831776</c:v>
                </c:pt>
                <c:pt idx="25">
                  <c:v>115012149.38650307</c:v>
                </c:pt>
                <c:pt idx="26">
                  <c:v>168502671.7436975</c:v>
                </c:pt>
                <c:pt idx="27">
                  <c:v>285696450</c:v>
                </c:pt>
              </c:numCache>
            </c:numRef>
          </c:val>
          <c:smooth val="0"/>
        </c:ser>
        <c:marker val="1"/>
        <c:axId val="11130383"/>
        <c:axId val="33064584"/>
      </c:lineChart>
      <c:catAx>
        <c:axId val="11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64584"/>
        <c:crosses val="autoZero"/>
        <c:auto val="1"/>
        <c:lblOffset val="100"/>
        <c:noMultiLvlLbl val="0"/>
      </c:catAx>
      <c:valAx>
        <c:axId val="3306458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113038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"/>
          <c:y val="0.915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Relative Composition of U.S. Energy Production by Source</a:t>
            </a:r>
          </a:p>
        </c:rich>
      </c:tx>
      <c:layout>
        <c:manualLayout>
          <c:xMode val="factor"/>
          <c:yMode val="factor"/>
          <c:x val="-0.005"/>
          <c:y val="0.02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5"/>
          <c:y val="0.2085"/>
          <c:w val="0.9465"/>
          <c:h val="0.5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Sheet1!$B$49</c:f>
              <c:strCache>
                <c:ptCount val="1"/>
                <c:pt idx="0">
                  <c:v>Coal</c:v>
                </c:pt>
              </c:strCache>
            </c:strRef>
          </c:tx>
          <c:spPr>
            <a:pattFill prst="dk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Sheet1!$A$50:$A$87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Sheet1!$B$50:$B$87</c:f>
              <c:numCache>
                <c:ptCount val="38"/>
                <c:pt idx="0">
                  <c:v>13.992</c:v>
                </c:pt>
                <c:pt idx="1">
                  <c:v>14.474</c:v>
                </c:pt>
                <c:pt idx="2">
                  <c:v>14.989</c:v>
                </c:pt>
                <c:pt idx="3">
                  <c:v>15.654</c:v>
                </c:pt>
                <c:pt idx="4">
                  <c:v>15.755</c:v>
                </c:pt>
                <c:pt idx="5">
                  <c:v>17.5</c:v>
                </c:pt>
                <c:pt idx="6">
                  <c:v>17.74</c:v>
                </c:pt>
                <c:pt idx="7">
                  <c:v>18.298</c:v>
                </c:pt>
                <c:pt idx="8">
                  <c:v>18.377</c:v>
                </c:pt>
                <c:pt idx="9">
                  <c:v>18.639</c:v>
                </c:pt>
                <c:pt idx="10">
                  <c:v>18.647</c:v>
                </c:pt>
                <c:pt idx="11">
                  <c:v>19.719</c:v>
                </c:pt>
                <c:pt idx="12">
                  <c:v>19.325</c:v>
                </c:pt>
                <c:pt idx="13">
                  <c:v>19.509</c:v>
                </c:pt>
                <c:pt idx="14">
                  <c:v>20.141</c:v>
                </c:pt>
                <c:pt idx="15">
                  <c:v>20.738</c:v>
                </c:pt>
                <c:pt idx="16">
                  <c:v>21.346</c:v>
                </c:pt>
                <c:pt idx="17">
                  <c:v>21.456</c:v>
                </c:pt>
                <c:pt idx="18">
                  <c:v>21.594</c:v>
                </c:pt>
                <c:pt idx="19">
                  <c:v>21.629</c:v>
                </c:pt>
                <c:pt idx="20">
                  <c:v>20.949</c:v>
                </c:pt>
                <c:pt idx="21">
                  <c:v>21.811</c:v>
                </c:pt>
                <c:pt idx="22">
                  <c:v>22.029</c:v>
                </c:pt>
                <c:pt idx="23">
                  <c:v>22.684</c:v>
                </c:pt>
                <c:pt idx="24">
                  <c:v>23.111</c:v>
                </c:pt>
                <c:pt idx="25">
                  <c:v>23.219</c:v>
                </c:pt>
                <c:pt idx="26">
                  <c:v>23.351</c:v>
                </c:pt>
                <c:pt idx="27">
                  <c:v>23.038800000000002</c:v>
                </c:pt>
              </c:numCache>
            </c:numRef>
          </c:val>
        </c:ser>
        <c:ser>
          <c:idx val="1"/>
          <c:order val="1"/>
          <c:tx>
            <c:strRef>
              <c:f>Sheet1!$C$49</c:f>
              <c:strCache>
                <c:ptCount val="1"/>
                <c:pt idx="0">
                  <c:v>Natural Gas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Sheet1!$A$50:$A$87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Sheet1!$C$50:$C$87</c:f>
              <c:numCache>
                <c:ptCount val="38"/>
                <c:pt idx="0">
                  <c:v>22.187</c:v>
                </c:pt>
                <c:pt idx="1">
                  <c:v>21.21</c:v>
                </c:pt>
                <c:pt idx="2">
                  <c:v>19.84</c:v>
                </c:pt>
                <c:pt idx="3">
                  <c:v>19.48</c:v>
                </c:pt>
                <c:pt idx="4">
                  <c:v>19.565</c:v>
                </c:pt>
                <c:pt idx="5">
                  <c:v>19.885</c:v>
                </c:pt>
                <c:pt idx="6">
                  <c:v>19.876</c:v>
                </c:pt>
                <c:pt idx="7">
                  <c:v>19.908</c:v>
                </c:pt>
                <c:pt idx="8">
                  <c:v>19.699</c:v>
                </c:pt>
                <c:pt idx="9">
                  <c:v>18.519</c:v>
                </c:pt>
                <c:pt idx="10">
                  <c:v>17.593</c:v>
                </c:pt>
                <c:pt idx="11">
                  <c:v>18.008</c:v>
                </c:pt>
                <c:pt idx="12">
                  <c:v>16.98</c:v>
                </c:pt>
                <c:pt idx="13">
                  <c:v>16.541</c:v>
                </c:pt>
                <c:pt idx="14">
                  <c:v>17.136</c:v>
                </c:pt>
                <c:pt idx="15">
                  <c:v>17.59</c:v>
                </c:pt>
                <c:pt idx="16">
                  <c:v>17.847</c:v>
                </c:pt>
                <c:pt idx="17">
                  <c:v>18.362</c:v>
                </c:pt>
                <c:pt idx="18">
                  <c:v>18.429</c:v>
                </c:pt>
                <c:pt idx="19">
                  <c:v>18.375</c:v>
                </c:pt>
                <c:pt idx="20">
                  <c:v>18.784</c:v>
                </c:pt>
                <c:pt idx="21">
                  <c:v>19.148</c:v>
                </c:pt>
                <c:pt idx="22">
                  <c:v>19.101</c:v>
                </c:pt>
                <c:pt idx="23">
                  <c:v>19.363</c:v>
                </c:pt>
                <c:pt idx="24">
                  <c:v>19.394</c:v>
                </c:pt>
                <c:pt idx="25">
                  <c:v>19.088</c:v>
                </c:pt>
                <c:pt idx="26">
                  <c:v>19.126</c:v>
                </c:pt>
                <c:pt idx="27">
                  <c:v>19.236</c:v>
                </c:pt>
              </c:numCache>
            </c:numRef>
          </c:val>
        </c:ser>
        <c:ser>
          <c:idx val="2"/>
          <c:order val="2"/>
          <c:tx>
            <c:strRef>
              <c:f>Sheet1!$E$49</c:f>
              <c:strCache>
                <c:ptCount val="1"/>
                <c:pt idx="0">
                  <c:v>Crude Oil</c:v>
                </c:pt>
              </c:strCache>
            </c:strRef>
          </c:tx>
          <c:spPr>
            <a:pattFill prst="dkDnDiag">
              <a:fgClr>
                <a:srgbClr val="FFFF0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Sheet1!$A$50:$A$87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Sheet1!$E$50:$E$87</c:f>
              <c:numCache>
                <c:ptCount val="38"/>
                <c:pt idx="0">
                  <c:v>19.493</c:v>
                </c:pt>
                <c:pt idx="1">
                  <c:v>18.575</c:v>
                </c:pt>
                <c:pt idx="2">
                  <c:v>17.729</c:v>
                </c:pt>
                <c:pt idx="3">
                  <c:v>17.262</c:v>
                </c:pt>
                <c:pt idx="4">
                  <c:v>17.454</c:v>
                </c:pt>
                <c:pt idx="5">
                  <c:v>18.434</c:v>
                </c:pt>
                <c:pt idx="6">
                  <c:v>18.1014</c:v>
                </c:pt>
                <c:pt idx="7">
                  <c:v>18.249</c:v>
                </c:pt>
                <c:pt idx="8">
                  <c:v>18.146</c:v>
                </c:pt>
                <c:pt idx="9">
                  <c:v>18.309</c:v>
                </c:pt>
                <c:pt idx="10">
                  <c:v>18.392</c:v>
                </c:pt>
                <c:pt idx="11">
                  <c:v>18.848</c:v>
                </c:pt>
                <c:pt idx="12">
                  <c:v>18.992</c:v>
                </c:pt>
                <c:pt idx="13">
                  <c:v>18.376</c:v>
                </c:pt>
                <c:pt idx="14">
                  <c:v>17.675</c:v>
                </c:pt>
                <c:pt idx="15">
                  <c:v>17.279</c:v>
                </c:pt>
                <c:pt idx="16">
                  <c:v>16.117</c:v>
                </c:pt>
                <c:pt idx="17">
                  <c:v>15.571</c:v>
                </c:pt>
                <c:pt idx="18">
                  <c:v>15.701</c:v>
                </c:pt>
                <c:pt idx="19">
                  <c:v>15.223</c:v>
                </c:pt>
                <c:pt idx="20">
                  <c:v>14.494</c:v>
                </c:pt>
                <c:pt idx="21">
                  <c:v>14.103</c:v>
                </c:pt>
                <c:pt idx="22">
                  <c:v>13.887</c:v>
                </c:pt>
                <c:pt idx="23">
                  <c:v>13.723</c:v>
                </c:pt>
                <c:pt idx="24">
                  <c:v>13.658</c:v>
                </c:pt>
                <c:pt idx="25">
                  <c:v>13.235</c:v>
                </c:pt>
                <c:pt idx="26">
                  <c:v>12.451</c:v>
                </c:pt>
                <c:pt idx="27">
                  <c:v>12.374399999999998</c:v>
                </c:pt>
              </c:numCache>
            </c:numRef>
          </c:val>
        </c:ser>
        <c:ser>
          <c:idx val="3"/>
          <c:order val="3"/>
          <c:tx>
            <c:strRef>
              <c:f>Sheet1!$F$49</c:f>
              <c:strCache>
                <c:ptCount val="1"/>
                <c:pt idx="0">
                  <c:v>NG Liquid</c:v>
                </c:pt>
              </c:strCache>
            </c:strRef>
          </c:tx>
          <c:spPr>
            <a:pattFill prst="narHorz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Sheet1!$A$50:$A$87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Sheet1!$F$50:$F$87</c:f>
              <c:numCache>
                <c:ptCount val="38"/>
                <c:pt idx="0">
                  <c:v>2.569</c:v>
                </c:pt>
                <c:pt idx="1">
                  <c:v>2.471</c:v>
                </c:pt>
                <c:pt idx="2">
                  <c:v>2.374</c:v>
                </c:pt>
                <c:pt idx="3">
                  <c:v>2.327</c:v>
                </c:pt>
                <c:pt idx="4">
                  <c:v>2.327</c:v>
                </c:pt>
                <c:pt idx="5">
                  <c:v>2.245</c:v>
                </c:pt>
                <c:pt idx="6">
                  <c:v>2.286</c:v>
                </c:pt>
                <c:pt idx="7">
                  <c:v>2.254</c:v>
                </c:pt>
                <c:pt idx="8">
                  <c:v>2.307</c:v>
                </c:pt>
                <c:pt idx="9">
                  <c:v>2.191</c:v>
                </c:pt>
                <c:pt idx="10">
                  <c:v>2.184</c:v>
                </c:pt>
                <c:pt idx="11">
                  <c:v>2.274</c:v>
                </c:pt>
                <c:pt idx="12">
                  <c:v>2.241</c:v>
                </c:pt>
                <c:pt idx="13">
                  <c:v>2.149</c:v>
                </c:pt>
                <c:pt idx="14">
                  <c:v>2.215</c:v>
                </c:pt>
                <c:pt idx="15">
                  <c:v>2.26</c:v>
                </c:pt>
                <c:pt idx="16">
                  <c:v>2.158</c:v>
                </c:pt>
                <c:pt idx="17">
                  <c:v>2.175</c:v>
                </c:pt>
                <c:pt idx="18">
                  <c:v>2.306</c:v>
                </c:pt>
                <c:pt idx="19">
                  <c:v>2.363</c:v>
                </c:pt>
                <c:pt idx="20">
                  <c:v>2.408</c:v>
                </c:pt>
                <c:pt idx="21">
                  <c:v>2.391</c:v>
                </c:pt>
                <c:pt idx="22">
                  <c:v>2.442</c:v>
                </c:pt>
                <c:pt idx="23">
                  <c:v>2.53</c:v>
                </c:pt>
                <c:pt idx="24">
                  <c:v>2.495</c:v>
                </c:pt>
                <c:pt idx="25">
                  <c:v>2.42</c:v>
                </c:pt>
                <c:pt idx="26">
                  <c:v>2.528</c:v>
                </c:pt>
                <c:pt idx="27">
                  <c:v>2.664</c:v>
                </c:pt>
              </c:numCache>
            </c:numRef>
          </c:val>
        </c:ser>
        <c:ser>
          <c:idx val="4"/>
          <c:order val="4"/>
          <c:tx>
            <c:strRef>
              <c:f>Sheet1!$G$49</c:f>
              <c:strCache>
                <c:ptCount val="1"/>
                <c:pt idx="0">
                  <c:v>Nuclear</c:v>
                </c:pt>
              </c:strCache>
            </c:strRef>
          </c:tx>
          <c:spPr>
            <a:pattFill prst="pct30">
              <a:fgClr>
                <a:srgbClr val="FFFF00"/>
              </a:fgClr>
              <a:bgClr>
                <a:srgbClr val="6600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Sheet1!$A$50:$A$87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Sheet1!$G$50:$G$87</c:f>
              <c:numCache>
                <c:ptCount val="38"/>
                <c:pt idx="0">
                  <c:v>0.91</c:v>
                </c:pt>
                <c:pt idx="1">
                  <c:v>1.272</c:v>
                </c:pt>
                <c:pt idx="2">
                  <c:v>1.9</c:v>
                </c:pt>
                <c:pt idx="3">
                  <c:v>2.111</c:v>
                </c:pt>
                <c:pt idx="4">
                  <c:v>2.702</c:v>
                </c:pt>
                <c:pt idx="5">
                  <c:v>3.024</c:v>
                </c:pt>
                <c:pt idx="6">
                  <c:v>2.776</c:v>
                </c:pt>
                <c:pt idx="7">
                  <c:v>2.739</c:v>
                </c:pt>
                <c:pt idx="8">
                  <c:v>3.008</c:v>
                </c:pt>
                <c:pt idx="9">
                  <c:v>3.131</c:v>
                </c:pt>
                <c:pt idx="10">
                  <c:v>3.203</c:v>
                </c:pt>
                <c:pt idx="11">
                  <c:v>3.553</c:v>
                </c:pt>
                <c:pt idx="12">
                  <c:v>4.149</c:v>
                </c:pt>
                <c:pt idx="13">
                  <c:v>4.471</c:v>
                </c:pt>
                <c:pt idx="14">
                  <c:v>4.906</c:v>
                </c:pt>
                <c:pt idx="15">
                  <c:v>5.661</c:v>
                </c:pt>
                <c:pt idx="16">
                  <c:v>5.677</c:v>
                </c:pt>
                <c:pt idx="17">
                  <c:v>6.162</c:v>
                </c:pt>
                <c:pt idx="18">
                  <c:v>6.58</c:v>
                </c:pt>
                <c:pt idx="19">
                  <c:v>6.608</c:v>
                </c:pt>
                <c:pt idx="20">
                  <c:v>6.52</c:v>
                </c:pt>
                <c:pt idx="21">
                  <c:v>6.838</c:v>
                </c:pt>
                <c:pt idx="22">
                  <c:v>7.177</c:v>
                </c:pt>
                <c:pt idx="23">
                  <c:v>7.168</c:v>
                </c:pt>
                <c:pt idx="24">
                  <c:v>6.678</c:v>
                </c:pt>
                <c:pt idx="25">
                  <c:v>7.157</c:v>
                </c:pt>
                <c:pt idx="26">
                  <c:v>7.736</c:v>
                </c:pt>
                <c:pt idx="27">
                  <c:v>7.986</c:v>
                </c:pt>
              </c:numCache>
            </c:numRef>
          </c:val>
        </c:ser>
        <c:ser>
          <c:idx val="5"/>
          <c:order val="5"/>
          <c:tx>
            <c:strRef>
              <c:f>Sheet1!$H$49</c:f>
              <c:strCache>
                <c:ptCount val="1"/>
                <c:pt idx="0">
                  <c:v>HydroStorage</c:v>
                </c:pt>
              </c:strCache>
            </c:strRef>
          </c:tx>
          <c:spPr>
            <a:pattFill prst="pct7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Sheet1!$A$50:$A$87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Sheet1!$H$50:$H$87</c:f>
              <c:numCache>
                <c:ptCount val="38"/>
                <c:pt idx="17">
                  <c:v>-0.036</c:v>
                </c:pt>
                <c:pt idx="18">
                  <c:v>-0.047</c:v>
                </c:pt>
                <c:pt idx="19">
                  <c:v>-0.043</c:v>
                </c:pt>
                <c:pt idx="20">
                  <c:v>-0.042</c:v>
                </c:pt>
                <c:pt idx="21">
                  <c:v>-0.035</c:v>
                </c:pt>
                <c:pt idx="22">
                  <c:v>-0.028</c:v>
                </c:pt>
                <c:pt idx="23">
                  <c:v>-0.032</c:v>
                </c:pt>
                <c:pt idx="24">
                  <c:v>-0.042</c:v>
                </c:pt>
                <c:pt idx="25">
                  <c:v>-0.046</c:v>
                </c:pt>
                <c:pt idx="26">
                  <c:v>-0.064</c:v>
                </c:pt>
                <c:pt idx="27">
                  <c:v>-0.0576</c:v>
                </c:pt>
              </c:numCache>
            </c:numRef>
          </c:val>
        </c:ser>
        <c:ser>
          <c:idx val="6"/>
          <c:order val="6"/>
          <c:tx>
            <c:strRef>
              <c:f>Sheet1!$I$49</c:f>
              <c:strCache>
                <c:ptCount val="1"/>
                <c:pt idx="0">
                  <c:v>HydroPower</c:v>
                </c:pt>
              </c:strCache>
            </c:strRef>
          </c:tx>
          <c:spPr>
            <a:pattFill prst="pct60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Sheet1!$A$50:$A$87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Sheet1!$I$50:$I$87</c:f>
              <c:numCache>
                <c:ptCount val="38"/>
                <c:pt idx="0">
                  <c:v>2.861</c:v>
                </c:pt>
                <c:pt idx="1">
                  <c:v>3.177</c:v>
                </c:pt>
                <c:pt idx="2">
                  <c:v>3.155</c:v>
                </c:pt>
                <c:pt idx="3">
                  <c:v>2.976</c:v>
                </c:pt>
                <c:pt idx="4">
                  <c:v>2.333</c:v>
                </c:pt>
                <c:pt idx="5">
                  <c:v>2.937</c:v>
                </c:pt>
                <c:pt idx="6">
                  <c:v>2.931</c:v>
                </c:pt>
                <c:pt idx="7">
                  <c:v>2.9</c:v>
                </c:pt>
                <c:pt idx="8">
                  <c:v>2.758</c:v>
                </c:pt>
                <c:pt idx="9">
                  <c:v>3.266</c:v>
                </c:pt>
                <c:pt idx="10">
                  <c:v>3.527</c:v>
                </c:pt>
                <c:pt idx="11">
                  <c:v>3.386</c:v>
                </c:pt>
                <c:pt idx="12">
                  <c:v>2.97</c:v>
                </c:pt>
                <c:pt idx="13">
                  <c:v>3.071</c:v>
                </c:pt>
                <c:pt idx="14">
                  <c:v>2.635</c:v>
                </c:pt>
                <c:pt idx="15">
                  <c:v>2.334</c:v>
                </c:pt>
                <c:pt idx="16">
                  <c:v>2.855</c:v>
                </c:pt>
                <c:pt idx="17">
                  <c:v>3.048</c:v>
                </c:pt>
                <c:pt idx="18">
                  <c:v>3.021</c:v>
                </c:pt>
                <c:pt idx="19">
                  <c:v>2.617</c:v>
                </c:pt>
                <c:pt idx="20">
                  <c:v>2.892</c:v>
                </c:pt>
                <c:pt idx="21">
                  <c:v>2.684</c:v>
                </c:pt>
                <c:pt idx="22">
                  <c:v>3.207</c:v>
                </c:pt>
                <c:pt idx="23">
                  <c:v>3.593</c:v>
                </c:pt>
                <c:pt idx="24">
                  <c:v>3.718</c:v>
                </c:pt>
                <c:pt idx="25">
                  <c:v>3.345</c:v>
                </c:pt>
                <c:pt idx="26">
                  <c:v>3.306</c:v>
                </c:pt>
                <c:pt idx="27">
                  <c:v>2.8764</c:v>
                </c:pt>
              </c:numCache>
            </c:numRef>
          </c:val>
        </c:ser>
        <c:ser>
          <c:idx val="7"/>
          <c:order val="7"/>
          <c:tx>
            <c:strRef>
              <c:f>Sheet1!$J$49</c:f>
              <c:strCache>
                <c:ptCount val="1"/>
                <c:pt idx="0">
                  <c:v>Wood Waste</c:v>
                </c:pt>
              </c:strCache>
            </c:strRef>
          </c:tx>
          <c:spPr>
            <a:pattFill prst="narHorz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Sheet1!$A$50:$A$87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Sheet1!$J$50:$J$87</c:f>
              <c:numCache>
                <c:ptCount val="38"/>
                <c:pt idx="0">
                  <c:v>1.529</c:v>
                </c:pt>
                <c:pt idx="1">
                  <c:v>1.54</c:v>
                </c:pt>
                <c:pt idx="2">
                  <c:v>1.499</c:v>
                </c:pt>
                <c:pt idx="3">
                  <c:v>1.713</c:v>
                </c:pt>
                <c:pt idx="4">
                  <c:v>1.838</c:v>
                </c:pt>
                <c:pt idx="5">
                  <c:v>2.038</c:v>
                </c:pt>
                <c:pt idx="6">
                  <c:v>2.152</c:v>
                </c:pt>
                <c:pt idx="7">
                  <c:v>2.485</c:v>
                </c:pt>
                <c:pt idx="8">
                  <c:v>2.59</c:v>
                </c:pt>
                <c:pt idx="9">
                  <c:v>2.615</c:v>
                </c:pt>
                <c:pt idx="10">
                  <c:v>2.831</c:v>
                </c:pt>
                <c:pt idx="11">
                  <c:v>2.88</c:v>
                </c:pt>
                <c:pt idx="12">
                  <c:v>2.864</c:v>
                </c:pt>
                <c:pt idx="13">
                  <c:v>2.841</c:v>
                </c:pt>
                <c:pt idx="14">
                  <c:v>2.823</c:v>
                </c:pt>
                <c:pt idx="15">
                  <c:v>2.937</c:v>
                </c:pt>
                <c:pt idx="16">
                  <c:v>3.05</c:v>
                </c:pt>
                <c:pt idx="17">
                  <c:v>2.646</c:v>
                </c:pt>
                <c:pt idx="18">
                  <c:v>2.687</c:v>
                </c:pt>
                <c:pt idx="19">
                  <c:v>2.831</c:v>
                </c:pt>
                <c:pt idx="20">
                  <c:v>2.791</c:v>
                </c:pt>
                <c:pt idx="21">
                  <c:v>2.925</c:v>
                </c:pt>
                <c:pt idx="22">
                  <c:v>3.056</c:v>
                </c:pt>
                <c:pt idx="23">
                  <c:v>3.114</c:v>
                </c:pt>
                <c:pt idx="24">
                  <c:v>2.991</c:v>
                </c:pt>
                <c:pt idx="25">
                  <c:v>3.003</c:v>
                </c:pt>
                <c:pt idx="26">
                  <c:v>3.486</c:v>
                </c:pt>
                <c:pt idx="27">
                  <c:v>3.6228</c:v>
                </c:pt>
              </c:numCache>
            </c:numRef>
          </c:val>
        </c:ser>
        <c:ser>
          <c:idx val="8"/>
          <c:order val="8"/>
          <c:tx>
            <c:strRef>
              <c:f>Sheet1!$K$49</c:f>
              <c:strCache>
                <c:ptCount val="1"/>
                <c:pt idx="0">
                  <c:v>Geothermal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Sheet1!$A$50:$A$87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Sheet1!$K$50:$K$87</c:f>
              <c:numCache>
                <c:ptCount val="38"/>
                <c:pt idx="0">
                  <c:v>0.043</c:v>
                </c:pt>
                <c:pt idx="1">
                  <c:v>0.053</c:v>
                </c:pt>
                <c:pt idx="2">
                  <c:v>0.07</c:v>
                </c:pt>
                <c:pt idx="3">
                  <c:v>0.078</c:v>
                </c:pt>
                <c:pt idx="4">
                  <c:v>0.077</c:v>
                </c:pt>
                <c:pt idx="5">
                  <c:v>0.064</c:v>
                </c:pt>
                <c:pt idx="6">
                  <c:v>0.084</c:v>
                </c:pt>
                <c:pt idx="7">
                  <c:v>0.11</c:v>
                </c:pt>
                <c:pt idx="8">
                  <c:v>0.123</c:v>
                </c:pt>
                <c:pt idx="9">
                  <c:v>0.105</c:v>
                </c:pt>
                <c:pt idx="10">
                  <c:v>0.129</c:v>
                </c:pt>
                <c:pt idx="11">
                  <c:v>0.165</c:v>
                </c:pt>
                <c:pt idx="12">
                  <c:v>0.198</c:v>
                </c:pt>
                <c:pt idx="13">
                  <c:v>0.219</c:v>
                </c:pt>
                <c:pt idx="14">
                  <c:v>0.229</c:v>
                </c:pt>
                <c:pt idx="15">
                  <c:v>0.217</c:v>
                </c:pt>
                <c:pt idx="16">
                  <c:v>0.323</c:v>
                </c:pt>
                <c:pt idx="17">
                  <c:v>0.343</c:v>
                </c:pt>
                <c:pt idx="18">
                  <c:v>0.348</c:v>
                </c:pt>
                <c:pt idx="19">
                  <c:v>0.355</c:v>
                </c:pt>
                <c:pt idx="20">
                  <c:v>0.369</c:v>
                </c:pt>
                <c:pt idx="21">
                  <c:v>0.64</c:v>
                </c:pt>
                <c:pt idx="22">
                  <c:v>0.314</c:v>
                </c:pt>
                <c:pt idx="23">
                  <c:v>0.332</c:v>
                </c:pt>
                <c:pt idx="24">
                  <c:v>0.322</c:v>
                </c:pt>
                <c:pt idx="25">
                  <c:v>0.327</c:v>
                </c:pt>
                <c:pt idx="26">
                  <c:v>0.374</c:v>
                </c:pt>
                <c:pt idx="27">
                  <c:v>0.3108</c:v>
                </c:pt>
              </c:numCache>
            </c:numRef>
          </c:val>
        </c:ser>
        <c:ser>
          <c:idx val="9"/>
          <c:order val="9"/>
          <c:tx>
            <c:strRef>
              <c:f>Sheet1!$L$49</c:f>
              <c:strCache>
                <c:ptCount val="1"/>
                <c:pt idx="0">
                  <c:v>Solar/Wind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Sheet1!$A$50:$A$87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Sheet1!$L$50:$L$87</c:f>
              <c:numCache>
                <c:ptCount val="38"/>
                <c:pt idx="16">
                  <c:v>0.083</c:v>
                </c:pt>
                <c:pt idx="17">
                  <c:v>0.094</c:v>
                </c:pt>
                <c:pt idx="18">
                  <c:v>0.097</c:v>
                </c:pt>
                <c:pt idx="19">
                  <c:v>0.097</c:v>
                </c:pt>
                <c:pt idx="20">
                  <c:v>0.102</c:v>
                </c:pt>
                <c:pt idx="21">
                  <c:v>0.107</c:v>
                </c:pt>
                <c:pt idx="22">
                  <c:v>0.106</c:v>
                </c:pt>
                <c:pt idx="23">
                  <c:v>0.11</c:v>
                </c:pt>
                <c:pt idx="24">
                  <c:v>0.107</c:v>
                </c:pt>
                <c:pt idx="25">
                  <c:v>0.104</c:v>
                </c:pt>
                <c:pt idx="26">
                  <c:v>0.11</c:v>
                </c:pt>
                <c:pt idx="27">
                  <c:v>0.1176</c:v>
                </c:pt>
              </c:numCache>
            </c:numRef>
          </c:val>
        </c:ser>
        <c:overlap val="100"/>
        <c:gapWidth val="0"/>
        <c:axId val="50639391"/>
        <c:axId val="53101336"/>
      </c:barChart>
      <c:catAx>
        <c:axId val="506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3101336"/>
        <c:crosses val="autoZero"/>
        <c:auto val="1"/>
        <c:lblOffset val="100"/>
        <c:noMultiLvlLbl val="0"/>
      </c:catAx>
      <c:valAx>
        <c:axId val="53101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063939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80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Renewable Energy Share of U.S. Production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075"/>
          <c:y val="0.17275"/>
          <c:w val="0.949"/>
          <c:h val="0.69825"/>
        </c:manualLayout>
      </c:layout>
      <c:lineChart>
        <c:grouping val="standard"/>
        <c:varyColors val="0"/>
        <c:ser>
          <c:idx val="0"/>
          <c:order val="0"/>
          <c:tx>
            <c:v>Renewable Energy Share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Renewable Energy Share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Sheet1!$A$50:$A$87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Sheet1!$N$50:$N$87</c:f>
              <c:numCache>
                <c:ptCount val="38"/>
                <c:pt idx="0">
                  <c:v>0.06971879718168095</c:v>
                </c:pt>
                <c:pt idx="1">
                  <c:v>0.07598929458994456</c:v>
                </c:pt>
                <c:pt idx="2">
                  <c:v>0.07674312820846059</c:v>
                </c:pt>
                <c:pt idx="3">
                  <c:v>0.07738510738462039</c:v>
                </c:pt>
                <c:pt idx="4">
                  <c:v>0.0684598153132101</c:v>
                </c:pt>
                <c:pt idx="5">
                  <c:v>0.07620185400819635</c:v>
                </c:pt>
                <c:pt idx="6">
                  <c:v>0.07835150971091674</c:v>
                </c:pt>
                <c:pt idx="7">
                  <c:v>0.08208475867529093</c:v>
                </c:pt>
                <c:pt idx="8">
                  <c:v>0.0816469675262655</c:v>
                </c:pt>
                <c:pt idx="9">
                  <c:v>0.08964432796705354</c:v>
                </c:pt>
                <c:pt idx="10">
                  <c:v>0.0975400715724897</c:v>
                </c:pt>
                <c:pt idx="11">
                  <c:v>0.09342902386936498</c:v>
                </c:pt>
                <c:pt idx="12">
                  <c:v>0.08907396742420887</c:v>
                </c:pt>
                <c:pt idx="13">
                  <c:v>0.09126635604447954</c:v>
                </c:pt>
                <c:pt idx="14">
                  <c:v>0.08392857142857145</c:v>
                </c:pt>
                <c:pt idx="15">
                  <c:v>0.0795177929755419</c:v>
                </c:pt>
                <c:pt idx="16">
                  <c:v>0.09086328035014975</c:v>
                </c:pt>
                <c:pt idx="17">
                  <c:v>0.08729465347101877</c:v>
                </c:pt>
                <c:pt idx="18">
                  <c:v>0.08634538152610442</c:v>
                </c:pt>
                <c:pt idx="19">
                  <c:v>0.08360573834844051</c:v>
                </c:pt>
                <c:pt idx="20">
                  <c:v>0.08823826641835218</c:v>
                </c:pt>
                <c:pt idx="21">
                  <c:v>0.08951736248796238</c:v>
                </c:pt>
                <c:pt idx="22">
                  <c:v>0.09334979169881194</c:v>
                </c:pt>
                <c:pt idx="23">
                  <c:v>0.09805056141075978</c:v>
                </c:pt>
                <c:pt idx="24">
                  <c:v>0.09796774906118842</c:v>
                </c:pt>
                <c:pt idx="25">
                  <c:v>0.09370650782163338</c:v>
                </c:pt>
                <c:pt idx="26">
                  <c:v>0.09960775647754266</c:v>
                </c:pt>
                <c:pt idx="27">
                  <c:v>0.09519296320313929</c:v>
                </c:pt>
              </c:numCache>
            </c:numRef>
          </c:val>
          <c:smooth val="0"/>
        </c:ser>
        <c:marker val="1"/>
        <c:axId val="8149977"/>
        <c:axId val="6240930"/>
      </c:lineChart>
      <c:catAx>
        <c:axId val="814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240930"/>
        <c:crosses val="autoZero"/>
        <c:auto val="1"/>
        <c:lblOffset val="100"/>
        <c:noMultiLvlLbl val="0"/>
      </c:catAx>
      <c:valAx>
        <c:axId val="624093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814997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75"/>
          <c:y val="0.89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Relative Composition of U.S. Energy Consumption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5325"/>
          <c:w val="0.96975"/>
          <c:h val="0.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Sheet1!$C$91</c:f>
              <c:strCache>
                <c:ptCount val="1"/>
                <c:pt idx="0">
                  <c:v>Coal</c:v>
                </c:pt>
              </c:strCache>
            </c:strRef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Sheet1!$B$92:$B$129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Sheet1!$C$92:$C$129</c:f>
              <c:numCache>
                <c:ptCount val="38"/>
                <c:pt idx="0">
                  <c:v>12.971</c:v>
                </c:pt>
                <c:pt idx="1">
                  <c:v>12.663</c:v>
                </c:pt>
                <c:pt idx="2">
                  <c:v>12.663</c:v>
                </c:pt>
                <c:pt idx="3">
                  <c:v>13.584</c:v>
                </c:pt>
                <c:pt idx="4">
                  <c:v>13.922</c:v>
                </c:pt>
                <c:pt idx="5">
                  <c:v>13.766</c:v>
                </c:pt>
                <c:pt idx="6">
                  <c:v>15.04</c:v>
                </c:pt>
                <c:pt idx="7">
                  <c:v>15.423</c:v>
                </c:pt>
                <c:pt idx="8">
                  <c:v>15.908</c:v>
                </c:pt>
                <c:pt idx="9">
                  <c:v>15.322</c:v>
                </c:pt>
                <c:pt idx="10">
                  <c:v>15.894</c:v>
                </c:pt>
                <c:pt idx="11">
                  <c:v>17.071</c:v>
                </c:pt>
                <c:pt idx="12">
                  <c:v>17.478</c:v>
                </c:pt>
                <c:pt idx="13">
                  <c:v>17.26</c:v>
                </c:pt>
                <c:pt idx="14">
                  <c:v>18.008</c:v>
                </c:pt>
                <c:pt idx="15">
                  <c:v>18.846</c:v>
                </c:pt>
                <c:pt idx="16">
                  <c:v>18.944</c:v>
                </c:pt>
                <c:pt idx="17">
                  <c:v>19.136</c:v>
                </c:pt>
                <c:pt idx="18">
                  <c:v>18.985</c:v>
                </c:pt>
                <c:pt idx="19">
                  <c:v>19.144</c:v>
                </c:pt>
                <c:pt idx="20">
                  <c:v>19.755</c:v>
                </c:pt>
                <c:pt idx="21">
                  <c:v>19.924</c:v>
                </c:pt>
                <c:pt idx="22">
                  <c:v>20.016</c:v>
                </c:pt>
                <c:pt idx="23">
                  <c:v>20.94</c:v>
                </c:pt>
                <c:pt idx="24">
                  <c:v>21.444</c:v>
                </c:pt>
                <c:pt idx="25">
                  <c:v>21.569</c:v>
                </c:pt>
                <c:pt idx="26">
                  <c:v>21.56</c:v>
                </c:pt>
                <c:pt idx="27">
                  <c:v>21.983999999999998</c:v>
                </c:pt>
              </c:numCache>
            </c:numRef>
          </c:val>
        </c:ser>
        <c:ser>
          <c:idx val="1"/>
          <c:order val="1"/>
          <c:tx>
            <c:strRef>
              <c:f>Sheet1!$E$91</c:f>
              <c:strCache>
                <c:ptCount val="1"/>
                <c:pt idx="0">
                  <c:v>Natural Gas</c:v>
                </c:pt>
              </c:strCache>
            </c:strRef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Sheet1!$B$92:$B$129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Sheet1!$E$92:$E$129</c:f>
              <c:numCache>
                <c:ptCount val="38"/>
                <c:pt idx="0">
                  <c:v>22.512</c:v>
                </c:pt>
                <c:pt idx="1">
                  <c:v>21.732</c:v>
                </c:pt>
                <c:pt idx="2">
                  <c:v>19.948</c:v>
                </c:pt>
                <c:pt idx="3">
                  <c:v>20.345</c:v>
                </c:pt>
                <c:pt idx="4">
                  <c:v>19.931</c:v>
                </c:pt>
                <c:pt idx="5">
                  <c:v>20</c:v>
                </c:pt>
                <c:pt idx="6">
                  <c:v>20.666</c:v>
                </c:pt>
                <c:pt idx="7">
                  <c:v>20.394</c:v>
                </c:pt>
                <c:pt idx="8">
                  <c:v>19.928</c:v>
                </c:pt>
                <c:pt idx="9">
                  <c:v>18.505</c:v>
                </c:pt>
                <c:pt idx="10">
                  <c:v>17.357</c:v>
                </c:pt>
                <c:pt idx="11">
                  <c:v>18.507</c:v>
                </c:pt>
                <c:pt idx="12">
                  <c:v>17.834</c:v>
                </c:pt>
                <c:pt idx="13">
                  <c:v>16.708</c:v>
                </c:pt>
                <c:pt idx="14">
                  <c:v>17.744</c:v>
                </c:pt>
                <c:pt idx="15">
                  <c:v>18.552</c:v>
                </c:pt>
                <c:pt idx="16">
                  <c:v>19.384</c:v>
                </c:pt>
                <c:pt idx="17">
                  <c:v>19.296</c:v>
                </c:pt>
                <c:pt idx="18">
                  <c:v>19.606</c:v>
                </c:pt>
                <c:pt idx="19">
                  <c:v>20.131</c:v>
                </c:pt>
                <c:pt idx="20">
                  <c:v>20.827</c:v>
                </c:pt>
                <c:pt idx="21">
                  <c:v>21.288</c:v>
                </c:pt>
                <c:pt idx="22">
                  <c:v>22.163</c:v>
                </c:pt>
                <c:pt idx="23">
                  <c:v>22.559</c:v>
                </c:pt>
                <c:pt idx="24">
                  <c:v>22.53</c:v>
                </c:pt>
                <c:pt idx="25">
                  <c:v>21.921</c:v>
                </c:pt>
                <c:pt idx="26">
                  <c:v>22.289</c:v>
                </c:pt>
                <c:pt idx="27">
                  <c:v>22.3536</c:v>
                </c:pt>
              </c:numCache>
            </c:numRef>
          </c:val>
        </c:ser>
        <c:ser>
          <c:idx val="2"/>
          <c:order val="2"/>
          <c:tx>
            <c:strRef>
              <c:f>Sheet1!$F$91</c:f>
              <c:strCache>
                <c:ptCount val="1"/>
                <c:pt idx="0">
                  <c:v>Petroleum</c:v>
                </c:pt>
              </c:strCache>
            </c:strRef>
          </c:tx>
          <c:spPr>
            <a:pattFill prst="dkUp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Sheet1!$B$92:$B$129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Sheet1!$F$92:$F$129</c:f>
              <c:numCache>
                <c:ptCount val="38"/>
                <c:pt idx="0">
                  <c:v>34.84</c:v>
                </c:pt>
                <c:pt idx="1">
                  <c:v>33.455</c:v>
                </c:pt>
                <c:pt idx="2">
                  <c:v>32.731</c:v>
                </c:pt>
                <c:pt idx="3">
                  <c:v>35.175</c:v>
                </c:pt>
                <c:pt idx="4">
                  <c:v>37.122</c:v>
                </c:pt>
                <c:pt idx="5">
                  <c:v>37.965</c:v>
                </c:pt>
                <c:pt idx="6">
                  <c:v>37.123</c:v>
                </c:pt>
                <c:pt idx="7">
                  <c:v>34.202</c:v>
                </c:pt>
                <c:pt idx="8">
                  <c:v>31.931</c:v>
                </c:pt>
                <c:pt idx="9">
                  <c:v>30.231</c:v>
                </c:pt>
                <c:pt idx="10">
                  <c:v>30.054</c:v>
                </c:pt>
                <c:pt idx="11">
                  <c:v>31.051</c:v>
                </c:pt>
                <c:pt idx="12">
                  <c:v>30.922</c:v>
                </c:pt>
                <c:pt idx="13">
                  <c:v>32.196</c:v>
                </c:pt>
                <c:pt idx="14">
                  <c:v>32.865</c:v>
                </c:pt>
                <c:pt idx="15">
                  <c:v>34.222</c:v>
                </c:pt>
                <c:pt idx="16">
                  <c:v>34.211</c:v>
                </c:pt>
                <c:pt idx="17">
                  <c:v>33.553</c:v>
                </c:pt>
                <c:pt idx="18">
                  <c:v>32.845</c:v>
                </c:pt>
                <c:pt idx="19">
                  <c:v>33.527</c:v>
                </c:pt>
                <c:pt idx="20">
                  <c:v>33.841</c:v>
                </c:pt>
                <c:pt idx="21">
                  <c:v>34.67</c:v>
                </c:pt>
                <c:pt idx="22">
                  <c:v>34.553</c:v>
                </c:pt>
                <c:pt idx="23">
                  <c:v>35.757</c:v>
                </c:pt>
                <c:pt idx="24">
                  <c:v>36.2866</c:v>
                </c:pt>
                <c:pt idx="25">
                  <c:v>36.934</c:v>
                </c:pt>
                <c:pt idx="26">
                  <c:v>37.96</c:v>
                </c:pt>
                <c:pt idx="27">
                  <c:v>37.8264</c:v>
                </c:pt>
              </c:numCache>
            </c:numRef>
          </c:val>
        </c:ser>
        <c:ser>
          <c:idx val="3"/>
          <c:order val="3"/>
          <c:tx>
            <c:strRef>
              <c:f>Sheet1!$G$91</c:f>
              <c:strCache>
                <c:ptCount val="1"/>
                <c:pt idx="0">
                  <c:v>Nuclear</c:v>
                </c:pt>
              </c:strCache>
            </c:strRef>
          </c:tx>
          <c:spPr>
            <a:pattFill prst="dkDnDiag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Sheet1!$B$92:$B$129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Sheet1!$G$92:$G$129</c:f>
              <c:numCache>
                <c:ptCount val="38"/>
                <c:pt idx="0">
                  <c:v>0.91</c:v>
                </c:pt>
                <c:pt idx="1">
                  <c:v>1.272</c:v>
                </c:pt>
                <c:pt idx="2">
                  <c:v>1.9</c:v>
                </c:pt>
                <c:pt idx="3">
                  <c:v>2.111</c:v>
                </c:pt>
                <c:pt idx="4">
                  <c:v>2.702</c:v>
                </c:pt>
                <c:pt idx="5">
                  <c:v>3.024</c:v>
                </c:pt>
                <c:pt idx="6">
                  <c:v>2.776</c:v>
                </c:pt>
                <c:pt idx="7">
                  <c:v>2.739</c:v>
                </c:pt>
                <c:pt idx="8">
                  <c:v>3.008</c:v>
                </c:pt>
                <c:pt idx="9">
                  <c:v>3.131</c:v>
                </c:pt>
                <c:pt idx="10">
                  <c:v>3.203</c:v>
                </c:pt>
                <c:pt idx="11">
                  <c:v>3.553</c:v>
                </c:pt>
                <c:pt idx="12">
                  <c:v>4.149</c:v>
                </c:pt>
                <c:pt idx="13">
                  <c:v>4.471</c:v>
                </c:pt>
                <c:pt idx="14">
                  <c:v>4.906</c:v>
                </c:pt>
                <c:pt idx="15">
                  <c:v>5.5661</c:v>
                </c:pt>
                <c:pt idx="16">
                  <c:v>5.677</c:v>
                </c:pt>
                <c:pt idx="17">
                  <c:v>6.162</c:v>
                </c:pt>
                <c:pt idx="18">
                  <c:v>6.58</c:v>
                </c:pt>
                <c:pt idx="19">
                  <c:v>6.608</c:v>
                </c:pt>
                <c:pt idx="20">
                  <c:v>6.52</c:v>
                </c:pt>
                <c:pt idx="21">
                  <c:v>6.838</c:v>
                </c:pt>
                <c:pt idx="22">
                  <c:v>7.177</c:v>
                </c:pt>
                <c:pt idx="23">
                  <c:v>7.168</c:v>
                </c:pt>
                <c:pt idx="24">
                  <c:v>6.678</c:v>
                </c:pt>
                <c:pt idx="25">
                  <c:v>7.157</c:v>
                </c:pt>
                <c:pt idx="26">
                  <c:v>7.736</c:v>
                </c:pt>
                <c:pt idx="27">
                  <c:v>7.986</c:v>
                </c:pt>
              </c:numCache>
            </c:numRef>
          </c:val>
        </c:ser>
        <c:ser>
          <c:idx val="4"/>
          <c:order val="4"/>
          <c:tx>
            <c:strRef>
              <c:f>Sheet1!$H$91</c:f>
              <c:strCache>
                <c:ptCount val="1"/>
                <c:pt idx="0">
                  <c:v>HydroStore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Sheet1!$B$92:$B$129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Sheet1!$H$92:$H$129</c:f>
              <c:numCache>
                <c:ptCount val="38"/>
                <c:pt idx="17">
                  <c:v>-0.036</c:v>
                </c:pt>
                <c:pt idx="18">
                  <c:v>-0.047</c:v>
                </c:pt>
                <c:pt idx="19">
                  <c:v>-0.043</c:v>
                </c:pt>
                <c:pt idx="20">
                  <c:v>-0.042</c:v>
                </c:pt>
                <c:pt idx="21">
                  <c:v>-0.035</c:v>
                </c:pt>
                <c:pt idx="22">
                  <c:v>-0.028</c:v>
                </c:pt>
                <c:pt idx="23">
                  <c:v>-0.032</c:v>
                </c:pt>
                <c:pt idx="24">
                  <c:v>-0.042</c:v>
                </c:pt>
                <c:pt idx="25">
                  <c:v>-0.046</c:v>
                </c:pt>
                <c:pt idx="26">
                  <c:v>-0.064</c:v>
                </c:pt>
                <c:pt idx="27">
                  <c:v>-0.048</c:v>
                </c:pt>
              </c:numCache>
            </c:numRef>
          </c:val>
        </c:ser>
        <c:ser>
          <c:idx val="5"/>
          <c:order val="5"/>
          <c:tx>
            <c:strRef>
              <c:f>Sheet1!$I$91</c:f>
              <c:strCache>
                <c:ptCount val="1"/>
                <c:pt idx="0">
                  <c:v>Hydropower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Sheet1!$B$92:$B$129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Sheet1!$I$92:$I$129</c:f>
              <c:numCache>
                <c:ptCount val="38"/>
                <c:pt idx="0">
                  <c:v>3.01</c:v>
                </c:pt>
                <c:pt idx="1">
                  <c:v>3.309</c:v>
                </c:pt>
                <c:pt idx="2">
                  <c:v>3.219</c:v>
                </c:pt>
                <c:pt idx="3">
                  <c:v>3.066</c:v>
                </c:pt>
                <c:pt idx="4">
                  <c:v>2.515</c:v>
                </c:pt>
                <c:pt idx="5">
                  <c:v>3.141</c:v>
                </c:pt>
                <c:pt idx="6">
                  <c:v>3.141</c:v>
                </c:pt>
                <c:pt idx="7">
                  <c:v>3.118</c:v>
                </c:pt>
                <c:pt idx="8">
                  <c:v>3.105</c:v>
                </c:pt>
                <c:pt idx="9">
                  <c:v>3.572</c:v>
                </c:pt>
                <c:pt idx="10">
                  <c:v>3.899</c:v>
                </c:pt>
                <c:pt idx="11">
                  <c:v>3.8</c:v>
                </c:pt>
                <c:pt idx="12">
                  <c:v>3.398</c:v>
                </c:pt>
                <c:pt idx="13">
                  <c:v>3.446</c:v>
                </c:pt>
                <c:pt idx="14">
                  <c:v>3.117</c:v>
                </c:pt>
                <c:pt idx="15">
                  <c:v>2.662</c:v>
                </c:pt>
                <c:pt idx="16">
                  <c:v>2.998</c:v>
                </c:pt>
                <c:pt idx="17">
                  <c:v>3.146</c:v>
                </c:pt>
                <c:pt idx="18">
                  <c:v>3.159</c:v>
                </c:pt>
                <c:pt idx="19">
                  <c:v>2.818</c:v>
                </c:pt>
                <c:pt idx="20">
                  <c:v>3.119</c:v>
                </c:pt>
                <c:pt idx="21">
                  <c:v>2.993</c:v>
                </c:pt>
                <c:pt idx="22">
                  <c:v>3.481</c:v>
                </c:pt>
                <c:pt idx="23">
                  <c:v>3.892</c:v>
                </c:pt>
                <c:pt idx="24">
                  <c:v>3.961</c:v>
                </c:pt>
                <c:pt idx="25">
                  <c:v>3.569</c:v>
                </c:pt>
                <c:pt idx="26">
                  <c:v>3.513</c:v>
                </c:pt>
                <c:pt idx="27">
                  <c:v>3.15</c:v>
                </c:pt>
              </c:numCache>
            </c:numRef>
          </c:val>
        </c:ser>
        <c:ser>
          <c:idx val="6"/>
          <c:order val="6"/>
          <c:tx>
            <c:strRef>
              <c:f>Sheet1!$J$91</c:f>
              <c:strCache>
                <c:ptCount val="1"/>
                <c:pt idx="0">
                  <c:v>Wood Waste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Sheet1!$B$92:$B$129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Sheet1!$J$92:$J$129</c:f>
              <c:numCache>
                <c:ptCount val="38"/>
                <c:pt idx="0">
                  <c:v>1.529</c:v>
                </c:pt>
                <c:pt idx="1">
                  <c:v>1.54</c:v>
                </c:pt>
                <c:pt idx="2">
                  <c:v>1.499</c:v>
                </c:pt>
                <c:pt idx="3">
                  <c:v>1.713</c:v>
                </c:pt>
                <c:pt idx="4">
                  <c:v>1.838</c:v>
                </c:pt>
                <c:pt idx="5">
                  <c:v>2.038</c:v>
                </c:pt>
                <c:pt idx="6">
                  <c:v>2.152</c:v>
                </c:pt>
                <c:pt idx="7">
                  <c:v>2.485</c:v>
                </c:pt>
                <c:pt idx="8">
                  <c:v>2.59</c:v>
                </c:pt>
                <c:pt idx="9">
                  <c:v>2.615</c:v>
                </c:pt>
                <c:pt idx="10">
                  <c:v>2.831</c:v>
                </c:pt>
                <c:pt idx="11">
                  <c:v>2.88</c:v>
                </c:pt>
                <c:pt idx="12">
                  <c:v>2.864</c:v>
                </c:pt>
                <c:pt idx="13">
                  <c:v>2.841</c:v>
                </c:pt>
                <c:pt idx="14">
                  <c:v>2.823</c:v>
                </c:pt>
                <c:pt idx="15">
                  <c:v>2.937</c:v>
                </c:pt>
                <c:pt idx="16">
                  <c:v>3.05</c:v>
                </c:pt>
                <c:pt idx="17">
                  <c:v>2.646</c:v>
                </c:pt>
                <c:pt idx="18">
                  <c:v>2.687</c:v>
                </c:pt>
                <c:pt idx="19">
                  <c:v>2.831</c:v>
                </c:pt>
                <c:pt idx="20">
                  <c:v>2.791</c:v>
                </c:pt>
                <c:pt idx="21">
                  <c:v>2.925</c:v>
                </c:pt>
                <c:pt idx="22">
                  <c:v>3.056</c:v>
                </c:pt>
                <c:pt idx="23">
                  <c:v>3.144</c:v>
                </c:pt>
                <c:pt idx="24">
                  <c:v>2.991</c:v>
                </c:pt>
                <c:pt idx="25">
                  <c:v>3.003</c:v>
                </c:pt>
                <c:pt idx="26">
                  <c:v>3.486</c:v>
                </c:pt>
                <c:pt idx="27">
                  <c:v>3.6228</c:v>
                </c:pt>
              </c:numCache>
            </c:numRef>
          </c:val>
        </c:ser>
        <c:ser>
          <c:idx val="7"/>
          <c:order val="7"/>
          <c:tx>
            <c:strRef>
              <c:f>Sheet1!$K$91</c:f>
              <c:strCache>
                <c:ptCount val="1"/>
                <c:pt idx="0">
                  <c:v>Geothermal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Sheet1!$B$92:$B$129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Sheet1!$K$92:$K$129</c:f>
              <c:numCache>
                <c:ptCount val="38"/>
                <c:pt idx="0">
                  <c:v>0.043</c:v>
                </c:pt>
                <c:pt idx="1">
                  <c:v>0.053</c:v>
                </c:pt>
                <c:pt idx="2">
                  <c:v>0.07</c:v>
                </c:pt>
                <c:pt idx="3">
                  <c:v>0.078</c:v>
                </c:pt>
                <c:pt idx="4">
                  <c:v>0.077</c:v>
                </c:pt>
                <c:pt idx="5">
                  <c:v>0.064</c:v>
                </c:pt>
                <c:pt idx="6">
                  <c:v>0.084</c:v>
                </c:pt>
                <c:pt idx="7">
                  <c:v>0.11</c:v>
                </c:pt>
                <c:pt idx="8">
                  <c:v>1.123</c:v>
                </c:pt>
                <c:pt idx="9">
                  <c:v>0.105</c:v>
                </c:pt>
                <c:pt idx="10">
                  <c:v>0.129</c:v>
                </c:pt>
                <c:pt idx="11">
                  <c:v>0.165</c:v>
                </c:pt>
                <c:pt idx="12">
                  <c:v>0.198</c:v>
                </c:pt>
                <c:pt idx="13">
                  <c:v>0.219</c:v>
                </c:pt>
                <c:pt idx="14">
                  <c:v>0.229</c:v>
                </c:pt>
                <c:pt idx="15">
                  <c:v>0.217</c:v>
                </c:pt>
                <c:pt idx="16">
                  <c:v>0.334</c:v>
                </c:pt>
                <c:pt idx="17">
                  <c:v>0.355</c:v>
                </c:pt>
                <c:pt idx="18">
                  <c:v>0.363</c:v>
                </c:pt>
                <c:pt idx="19">
                  <c:v>0.374</c:v>
                </c:pt>
                <c:pt idx="20">
                  <c:v>0.387</c:v>
                </c:pt>
                <c:pt idx="21">
                  <c:v>0.388</c:v>
                </c:pt>
                <c:pt idx="22">
                  <c:v>0.333</c:v>
                </c:pt>
                <c:pt idx="23">
                  <c:v>0.346</c:v>
                </c:pt>
                <c:pt idx="24">
                  <c:v>0.322</c:v>
                </c:pt>
                <c:pt idx="25">
                  <c:v>0.328</c:v>
                </c:pt>
                <c:pt idx="26">
                  <c:v>0.374</c:v>
                </c:pt>
                <c:pt idx="27">
                  <c:v>0.312</c:v>
                </c:pt>
              </c:numCache>
            </c:numRef>
          </c:val>
        </c:ser>
        <c:ser>
          <c:idx val="8"/>
          <c:order val="8"/>
          <c:tx>
            <c:strRef>
              <c:f>Sheet1!$L$91</c:f>
              <c:strCache>
                <c:ptCount val="1"/>
                <c:pt idx="0">
                  <c:v>SolarWind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Sheet1!$B$92:$B$129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Sheet1!$L$92:$L$129</c:f>
              <c:numCache>
                <c:ptCount val="38"/>
                <c:pt idx="16">
                  <c:v>0.083</c:v>
                </c:pt>
                <c:pt idx="17">
                  <c:v>0.094</c:v>
                </c:pt>
                <c:pt idx="18">
                  <c:v>0.97</c:v>
                </c:pt>
                <c:pt idx="19">
                  <c:v>0.097</c:v>
                </c:pt>
                <c:pt idx="20">
                  <c:v>0.102</c:v>
                </c:pt>
                <c:pt idx="21">
                  <c:v>0.107</c:v>
                </c:pt>
                <c:pt idx="22">
                  <c:v>0.106</c:v>
                </c:pt>
                <c:pt idx="23">
                  <c:v>0.11</c:v>
                </c:pt>
                <c:pt idx="24">
                  <c:v>0.107</c:v>
                </c:pt>
                <c:pt idx="25">
                  <c:v>0.104</c:v>
                </c:pt>
                <c:pt idx="26">
                  <c:v>0.11</c:v>
                </c:pt>
                <c:pt idx="27">
                  <c:v>0.1176</c:v>
                </c:pt>
              </c:numCache>
            </c:numRef>
          </c:val>
        </c:ser>
        <c:overlap val="100"/>
        <c:gapWidth val="0"/>
        <c:axId val="56168371"/>
        <c:axId val="35753292"/>
      </c:barChart>
      <c:catAx>
        <c:axId val="56168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5753292"/>
        <c:crosses val="autoZero"/>
        <c:auto val="1"/>
        <c:lblOffset val="100"/>
        <c:noMultiLvlLbl val="0"/>
      </c:catAx>
      <c:valAx>
        <c:axId val="35753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616837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25"/>
          <c:y val="0.90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Renewable Share of U.S. Energy Consumption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625"/>
          <c:y val="0.15825"/>
          <c:w val="0.9605"/>
          <c:h val="0.71075"/>
        </c:manualLayout>
      </c:layout>
      <c:lineChart>
        <c:grouping val="standard"/>
        <c:varyColors val="0"/>
        <c:ser>
          <c:idx val="0"/>
          <c:order val="0"/>
          <c:tx>
            <c:v>Renewable Share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Renewable Energy Share of U.S. Consumption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Renewable Energy Share Trend
y = -8E-05x2 + 0.0027x + 0.0578
R2 = 0.4119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Sheet1!$B$92:$B$129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Sheet1!$N$92:$N$129</c:f>
              <c:numCache>
                <c:ptCount val="38"/>
                <c:pt idx="0">
                  <c:v>0.06043658906548835</c:v>
                </c:pt>
                <c:pt idx="1">
                  <c:v>0.0662217659137577</c:v>
                </c:pt>
                <c:pt idx="2">
                  <c:v>0.06647230320699708</c:v>
                </c:pt>
                <c:pt idx="3">
                  <c:v>0.06384740771900305</c:v>
                </c:pt>
                <c:pt idx="4">
                  <c:v>0.0567170676123779</c:v>
                </c:pt>
                <c:pt idx="5">
                  <c:v>0.06553913847846198</c:v>
                </c:pt>
                <c:pt idx="6">
                  <c:v>0.0663974710429478</c:v>
                </c:pt>
                <c:pt idx="7">
                  <c:v>0.07280396579628143</c:v>
                </c:pt>
                <c:pt idx="8">
                  <c:v>0.08786875104713054</c:v>
                </c:pt>
                <c:pt idx="9">
                  <c:v>0.08562757719682641</c:v>
                </c:pt>
                <c:pt idx="10">
                  <c:v>0.09348889827851758</c:v>
                </c:pt>
                <c:pt idx="11">
                  <c:v>0.08886494346138367</c:v>
                </c:pt>
                <c:pt idx="12">
                  <c:v>0.08406751428236797</c:v>
                </c:pt>
                <c:pt idx="13">
                  <c:v>0.08433906742199351</c:v>
                </c:pt>
                <c:pt idx="14">
                  <c:v>0.07741053054258897</c:v>
                </c:pt>
                <c:pt idx="15">
                  <c:v>0.07007051628814209</c:v>
                </c:pt>
                <c:pt idx="16">
                  <c:v>0.07634534311120557</c:v>
                </c:pt>
                <c:pt idx="17">
                  <c:v>0.07398757587253414</c:v>
                </c:pt>
                <c:pt idx="18">
                  <c:v>0.08431202142152486</c:v>
                </c:pt>
                <c:pt idx="19">
                  <c:v>0.07158983237217356</c:v>
                </c:pt>
                <c:pt idx="20">
                  <c:v>0.07329896907216496</c:v>
                </c:pt>
                <c:pt idx="21">
                  <c:v>0.07197692428561808</c:v>
                </c:pt>
                <c:pt idx="22">
                  <c:v>0.07677999493709899</c:v>
                </c:pt>
                <c:pt idx="23">
                  <c:v>0.07980060500191724</c:v>
                </c:pt>
                <c:pt idx="24">
                  <c:v>0.07829007102429421</c:v>
                </c:pt>
                <c:pt idx="25">
                  <c:v>0.07408582701319034</c:v>
                </c:pt>
                <c:pt idx="26">
                  <c:v>0.07717297141207045</c:v>
                </c:pt>
                <c:pt idx="27">
                  <c:v>0.07401926326044868</c:v>
                </c:pt>
              </c:numCache>
            </c:numRef>
          </c:val>
          <c:smooth val="0"/>
        </c:ser>
        <c:marker val="1"/>
        <c:axId val="53344173"/>
        <c:axId val="10335510"/>
      </c:lineChart>
      <c:catAx>
        <c:axId val="5334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5510"/>
        <c:crosses val="autoZero"/>
        <c:auto val="1"/>
        <c:lblOffset val="100"/>
        <c:noMultiLvlLbl val="0"/>
      </c:catAx>
      <c:valAx>
        <c:axId val="1033551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34417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525"/>
          <c:y val="0.899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U.S. Trade Balance in Energy</a:t>
            </a:r>
            <a:r>
              <a:rPr lang="en-US" cap="none" sz="800" b="0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900" b="1" i="0" u="none" baseline="0">
                <a:latin typeface="Helv"/>
                <a:ea typeface="Helv"/>
                <a:cs typeface="Helv"/>
              </a:rPr>
              <a:t>in $U.S. Millions of current dollars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8775"/>
          <c:w val="0.96875"/>
          <c:h val="0.68575"/>
        </c:manualLayout>
      </c:layout>
      <c:lineChart>
        <c:grouping val="standard"/>
        <c:varyColors val="0"/>
        <c:ser>
          <c:idx val="0"/>
          <c:order val="0"/>
          <c:tx>
            <c:v>U.S. Energy Trade Balance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trendline>
            <c:name>U.S. Energy Trade Balance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Sheet1!$C$135:$C$172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Sheet1!$G$135:$G$172</c:f>
              <c:numCache>
                <c:ptCount val="38"/>
                <c:pt idx="0">
                  <c:v>-22010</c:v>
                </c:pt>
                <c:pt idx="1">
                  <c:v>-22006</c:v>
                </c:pt>
                <c:pt idx="2">
                  <c:v>-29770</c:v>
                </c:pt>
                <c:pt idx="3">
                  <c:v>-40353</c:v>
                </c:pt>
                <c:pt idx="4">
                  <c:v>-38215</c:v>
                </c:pt>
                <c:pt idx="5">
                  <c:v>-54377</c:v>
                </c:pt>
                <c:pt idx="6">
                  <c:v>-74942</c:v>
                </c:pt>
                <c:pt idx="7">
                  <c:v>-71081</c:v>
                </c:pt>
                <c:pt idx="8">
                  <c:v>-52680</c:v>
                </c:pt>
                <c:pt idx="9">
                  <c:v>-48452</c:v>
                </c:pt>
                <c:pt idx="10">
                  <c:v>-51669</c:v>
                </c:pt>
                <c:pt idx="11">
                  <c:v>-43946</c:v>
                </c:pt>
                <c:pt idx="12">
                  <c:v>-29202</c:v>
                </c:pt>
                <c:pt idx="13">
                  <c:v>-36507</c:v>
                </c:pt>
                <c:pt idx="14">
                  <c:v>-32807</c:v>
                </c:pt>
                <c:pt idx="15">
                  <c:v>-42910</c:v>
                </c:pt>
                <c:pt idx="16">
                  <c:v>-52428</c:v>
                </c:pt>
                <c:pt idx="17">
                  <c:v>-42548</c:v>
                </c:pt>
                <c:pt idx="18">
                  <c:v>-44002</c:v>
                </c:pt>
                <c:pt idx="19">
                  <c:v>-46144</c:v>
                </c:pt>
                <c:pt idx="20">
                  <c:v>-47480</c:v>
                </c:pt>
                <c:pt idx="21">
                  <c:v>-48751</c:v>
                </c:pt>
                <c:pt idx="22">
                  <c:v>-65905</c:v>
                </c:pt>
                <c:pt idx="23">
                  <c:v>-65595</c:v>
                </c:pt>
                <c:pt idx="24">
                  <c:v>-47072</c:v>
                </c:pt>
                <c:pt idx="25">
                  <c:v>-65923</c:v>
                </c:pt>
                <c:pt idx="26">
                  <c:v>-117984.00000000001</c:v>
                </c:pt>
              </c:numCache>
            </c:numRef>
          </c:val>
          <c:smooth val="0"/>
        </c:ser>
        <c:marker val="1"/>
        <c:axId val="25910727"/>
        <c:axId val="31869952"/>
      </c:lineChart>
      <c:catAx>
        <c:axId val="25910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1869952"/>
        <c:crosses val="autoZero"/>
        <c:auto val="1"/>
        <c:lblOffset val="100"/>
        <c:noMultiLvlLbl val="0"/>
      </c:catAx>
      <c:valAx>
        <c:axId val="3186995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591072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87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U.S. Merchandise Trade Balance</a:t>
            </a:r>
            <a:r>
              <a:rPr lang="en-US" cap="none" sz="1775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925" b="1" i="0" u="none" baseline="0">
                <a:latin typeface="Helv"/>
                <a:ea typeface="Helv"/>
                <a:cs typeface="Helv"/>
              </a:rPr>
              <a:t>in $U.S. Millions of current dollars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5"/>
          <c:y val="0.21975"/>
          <c:w val="0.927"/>
          <c:h val="0.62925"/>
        </c:manualLayout>
      </c:layout>
      <c:lineChart>
        <c:grouping val="standard"/>
        <c:varyColors val="0"/>
        <c:ser>
          <c:idx val="0"/>
          <c:order val="0"/>
          <c:tx>
            <c:v>U.S. Energy Trade Balance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Sheet1!$C$135:$C$172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Sheet1!$G$135:$G$172</c:f>
              <c:numCache>
                <c:ptCount val="38"/>
                <c:pt idx="0">
                  <c:v>-22010</c:v>
                </c:pt>
                <c:pt idx="1">
                  <c:v>-22006</c:v>
                </c:pt>
                <c:pt idx="2">
                  <c:v>-29770</c:v>
                </c:pt>
                <c:pt idx="3">
                  <c:v>-40353</c:v>
                </c:pt>
                <c:pt idx="4">
                  <c:v>-38215</c:v>
                </c:pt>
                <c:pt idx="5">
                  <c:v>-54377</c:v>
                </c:pt>
                <c:pt idx="6">
                  <c:v>-74942</c:v>
                </c:pt>
                <c:pt idx="7">
                  <c:v>-71081</c:v>
                </c:pt>
                <c:pt idx="8">
                  <c:v>-52680</c:v>
                </c:pt>
                <c:pt idx="9">
                  <c:v>-48452</c:v>
                </c:pt>
                <c:pt idx="10">
                  <c:v>-51669</c:v>
                </c:pt>
                <c:pt idx="11">
                  <c:v>-43946</c:v>
                </c:pt>
                <c:pt idx="12">
                  <c:v>-29202</c:v>
                </c:pt>
                <c:pt idx="13">
                  <c:v>-36507</c:v>
                </c:pt>
                <c:pt idx="14">
                  <c:v>-32807</c:v>
                </c:pt>
                <c:pt idx="15">
                  <c:v>-42910</c:v>
                </c:pt>
                <c:pt idx="16">
                  <c:v>-52428</c:v>
                </c:pt>
                <c:pt idx="17">
                  <c:v>-42548</c:v>
                </c:pt>
                <c:pt idx="18">
                  <c:v>-44002</c:v>
                </c:pt>
                <c:pt idx="19">
                  <c:v>-46144</c:v>
                </c:pt>
                <c:pt idx="20">
                  <c:v>-47480</c:v>
                </c:pt>
                <c:pt idx="21">
                  <c:v>-48751</c:v>
                </c:pt>
                <c:pt idx="22">
                  <c:v>-65905</c:v>
                </c:pt>
                <c:pt idx="23">
                  <c:v>-65595</c:v>
                </c:pt>
                <c:pt idx="24">
                  <c:v>-47072</c:v>
                </c:pt>
                <c:pt idx="25">
                  <c:v>-65923</c:v>
                </c:pt>
                <c:pt idx="26">
                  <c:v>-117984.00000000001</c:v>
                </c:pt>
              </c:numCache>
            </c:numRef>
          </c:val>
          <c:smooth val="0"/>
        </c:ser>
        <c:ser>
          <c:idx val="1"/>
          <c:order val="1"/>
          <c:tx>
            <c:v>U.S. Non-Energy Trade Balance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Sheet1!$C$135:$C$172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Sheet1!$H$135:$H$172</c:f>
              <c:numCache>
                <c:ptCount val="38"/>
                <c:pt idx="0">
                  <c:v>18126</c:v>
                </c:pt>
                <c:pt idx="1">
                  <c:v>31557</c:v>
                </c:pt>
                <c:pt idx="2">
                  <c:v>21950</c:v>
                </c:pt>
                <c:pt idx="3">
                  <c:v>12001</c:v>
                </c:pt>
                <c:pt idx="4">
                  <c:v>8010</c:v>
                </c:pt>
                <c:pt idx="5">
                  <c:v>30455</c:v>
                </c:pt>
                <c:pt idx="6">
                  <c:v>55246</c:v>
                </c:pt>
                <c:pt idx="7">
                  <c:v>48814</c:v>
                </c:pt>
                <c:pt idx="8">
                  <c:v>25170</c:v>
                </c:pt>
                <c:pt idx="9">
                  <c:v>-3957</c:v>
                </c:pt>
                <c:pt idx="10">
                  <c:v>-55033</c:v>
                </c:pt>
                <c:pt idx="11">
                  <c:v>-73765</c:v>
                </c:pt>
                <c:pt idx="12">
                  <c:v>-109084</c:v>
                </c:pt>
                <c:pt idx="13">
                  <c:v>-115613</c:v>
                </c:pt>
                <c:pt idx="14">
                  <c:v>-85720</c:v>
                </c:pt>
                <c:pt idx="15">
                  <c:v>-66490</c:v>
                </c:pt>
                <c:pt idx="16">
                  <c:v>-50068</c:v>
                </c:pt>
                <c:pt idx="17">
                  <c:v>-24175</c:v>
                </c:pt>
                <c:pt idx="18">
                  <c:v>-40500</c:v>
                </c:pt>
                <c:pt idx="19">
                  <c:v>-69425</c:v>
                </c:pt>
                <c:pt idx="20">
                  <c:v>-103149</c:v>
                </c:pt>
                <c:pt idx="21">
                  <c:v>-110050</c:v>
                </c:pt>
                <c:pt idx="22">
                  <c:v>-104309</c:v>
                </c:pt>
                <c:pt idx="23">
                  <c:v>-114927</c:v>
                </c:pt>
                <c:pt idx="24">
                  <c:v>-183686</c:v>
                </c:pt>
                <c:pt idx="25">
                  <c:v>-262898</c:v>
                </c:pt>
                <c:pt idx="26">
                  <c:v>-319891.63636363635</c:v>
                </c:pt>
              </c:numCache>
            </c:numRef>
          </c:val>
          <c:smooth val="0"/>
        </c:ser>
        <c:ser>
          <c:idx val="2"/>
          <c:order val="2"/>
          <c:tx>
            <c:v>U.S. Merchandise Trade Balance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Sheet1!$C$135:$C$172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Sheet1!$K$135:$K$172</c:f>
              <c:numCache>
                <c:ptCount val="38"/>
                <c:pt idx="0">
                  <c:v>-3884</c:v>
                </c:pt>
                <c:pt idx="1">
                  <c:v>9551</c:v>
                </c:pt>
                <c:pt idx="2">
                  <c:v>-7820</c:v>
                </c:pt>
                <c:pt idx="3">
                  <c:v>-28352</c:v>
                </c:pt>
                <c:pt idx="4">
                  <c:v>-30205</c:v>
                </c:pt>
                <c:pt idx="5">
                  <c:v>-23922</c:v>
                </c:pt>
                <c:pt idx="6">
                  <c:v>-19696</c:v>
                </c:pt>
                <c:pt idx="7">
                  <c:v>-22267</c:v>
                </c:pt>
                <c:pt idx="8">
                  <c:v>-25510</c:v>
                </c:pt>
                <c:pt idx="9">
                  <c:v>-52409</c:v>
                </c:pt>
                <c:pt idx="10">
                  <c:v>-106702</c:v>
                </c:pt>
                <c:pt idx="11">
                  <c:v>-117711</c:v>
                </c:pt>
                <c:pt idx="12">
                  <c:v>-138279</c:v>
                </c:pt>
                <c:pt idx="13">
                  <c:v>-152119</c:v>
                </c:pt>
                <c:pt idx="14">
                  <c:v>-118526</c:v>
                </c:pt>
                <c:pt idx="15">
                  <c:v>-109399</c:v>
                </c:pt>
                <c:pt idx="16">
                  <c:v>-102496</c:v>
                </c:pt>
                <c:pt idx="17">
                  <c:v>-66723</c:v>
                </c:pt>
                <c:pt idx="18">
                  <c:v>-84501</c:v>
                </c:pt>
                <c:pt idx="19">
                  <c:v>-115568</c:v>
                </c:pt>
                <c:pt idx="20">
                  <c:v>-150630</c:v>
                </c:pt>
                <c:pt idx="21">
                  <c:v>-158801</c:v>
                </c:pt>
                <c:pt idx="22">
                  <c:v>-170214</c:v>
                </c:pt>
                <c:pt idx="23">
                  <c:v>-180522</c:v>
                </c:pt>
                <c:pt idx="24">
                  <c:v>-229758</c:v>
                </c:pt>
                <c:pt idx="25">
                  <c:v>-328821</c:v>
                </c:pt>
                <c:pt idx="26">
                  <c:v>-437875.63636363647</c:v>
                </c:pt>
              </c:numCache>
            </c:numRef>
          </c:val>
          <c:smooth val="0"/>
        </c:ser>
        <c:marker val="1"/>
        <c:axId val="18394113"/>
        <c:axId val="31329290"/>
      </c:lineChart>
      <c:catAx>
        <c:axId val="1839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1329290"/>
        <c:crosses val="autoZero"/>
        <c:auto val="1"/>
        <c:lblOffset val="100"/>
        <c:noMultiLvlLbl val="0"/>
      </c:catAx>
      <c:valAx>
        <c:axId val="3132929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1839411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15"/>
          <c:y val="0.882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Constant Dollar End User Energy Prices</a:t>
            </a:r>
            <a:r>
              <a:rPr lang="en-US" cap="none" sz="18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in $U.S. 2000 Prices per MBtu</a:t>
            </a:r>
          </a:p>
        </c:rich>
      </c:tx>
      <c:layout>
        <c:manualLayout>
          <c:xMode val="factor"/>
          <c:yMode val="factor"/>
          <c:x val="-0.00625"/>
          <c:y val="-0.0117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75"/>
          <c:y val="0.162"/>
          <c:w val="0.9362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Sheet1!$E$176</c:f>
              <c:strCache>
                <c:ptCount val="1"/>
                <c:pt idx="0">
                  <c:v>Motor Gasoline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Motor Gasoline Price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FF"/>
                        </a:solidFill>
                        <a:latin typeface="Helv"/>
                        <a:ea typeface="Helv"/>
                        <a:cs typeface="Helv"/>
                      </a:rPr>
                      <a:t>Motor Gasoline Real Price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
y = 0.0511x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- 2.5752x + 39.197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0.942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Sheet1!$C$177:$C$214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Sheet1!$E$177:$E$214</c:f>
              <c:numCache>
                <c:ptCount val="38"/>
                <c:pt idx="5">
                  <c:v>21.595092024539877</c:v>
                </c:pt>
                <c:pt idx="6">
                  <c:v>23.539393939393943</c:v>
                </c:pt>
                <c:pt idx="7">
                  <c:v>25.310679611650485</c:v>
                </c:pt>
                <c:pt idx="8">
                  <c:v>23.040704070407042</c:v>
                </c:pt>
                <c:pt idx="9">
                  <c:v>19.35088082901554</c:v>
                </c:pt>
                <c:pt idx="10">
                  <c:v>17.370281124497993</c:v>
                </c:pt>
                <c:pt idx="11">
                  <c:v>15.618094321462946</c:v>
                </c:pt>
                <c:pt idx="12">
                  <c:v>14.541263940520448</c:v>
                </c:pt>
                <c:pt idx="13">
                  <c:v>10.903649635036498</c:v>
                </c:pt>
                <c:pt idx="14">
                  <c:v>10.442253521126762</c:v>
                </c:pt>
                <c:pt idx="15">
                  <c:v>9.685207100591716</c:v>
                </c:pt>
                <c:pt idx="16">
                  <c:v>9.694193548387096</c:v>
                </c:pt>
                <c:pt idx="17">
                  <c:v>10.018668706962512</c:v>
                </c:pt>
                <c:pt idx="18">
                  <c:v>9.07136563876652</c:v>
                </c:pt>
                <c:pt idx="19">
                  <c:v>8.50520313613685</c:v>
                </c:pt>
                <c:pt idx="20">
                  <c:v>7.9047750865051905</c:v>
                </c:pt>
                <c:pt idx="21">
                  <c:v>7.553036437246965</c:v>
                </c:pt>
                <c:pt idx="22">
                  <c:v>7.356430446194225</c:v>
                </c:pt>
                <c:pt idx="23">
                  <c:v>7.4146590184831105</c:v>
                </c:pt>
                <c:pt idx="24">
                  <c:v>7.105794392523364</c:v>
                </c:pt>
                <c:pt idx="25">
                  <c:v>5.949447852760736</c:v>
                </c:pt>
                <c:pt idx="26">
                  <c:v>6.243457382953181</c:v>
                </c:pt>
                <c:pt idx="27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Sheet1!$F$176</c:f>
              <c:strCache>
                <c:ptCount val="1"/>
                <c:pt idx="0">
                  <c:v>Residential Oil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Residential Oil Real Price Trend</c:nam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  <a:latin typeface="Helv"/>
                        <a:ea typeface="Helv"/>
                        <a:cs typeface="Helv"/>
                      </a:rPr>
                      <a:t>Residential Oil Real Price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
y = 0.0303x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- 1.6871x + 27.866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0.9109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Sheet1!$C$177:$C$214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Sheet1!$F$177:$F$214</c:f>
              <c:numCache>
                <c:ptCount val="38"/>
                <c:pt idx="5">
                  <c:v>14.630674846625766</c:v>
                </c:pt>
                <c:pt idx="6">
                  <c:v>16.945454545454545</c:v>
                </c:pt>
                <c:pt idx="7">
                  <c:v>18.198058252427185</c:v>
                </c:pt>
                <c:pt idx="8">
                  <c:v>18.335753575357536</c:v>
                </c:pt>
                <c:pt idx="9">
                  <c:v>15.812642487046631</c:v>
                </c:pt>
                <c:pt idx="10">
                  <c:v>13.783132530120481</c:v>
                </c:pt>
                <c:pt idx="11">
                  <c:v>12.823099133782485</c:v>
                </c:pt>
                <c:pt idx="12">
                  <c:v>11.547955390334572</c:v>
                </c:pt>
                <c:pt idx="13">
                  <c:v>8.83211678832117</c:v>
                </c:pt>
                <c:pt idx="14">
                  <c:v>7.901408450704226</c:v>
                </c:pt>
                <c:pt idx="15">
                  <c:v>7.379205409974641</c:v>
                </c:pt>
                <c:pt idx="16">
                  <c:v>7.4232258064516135</c:v>
                </c:pt>
                <c:pt idx="17">
                  <c:v>7.89104820198929</c:v>
                </c:pt>
                <c:pt idx="18">
                  <c:v>6.965051395007342</c:v>
                </c:pt>
                <c:pt idx="19">
                  <c:v>6.021382751247327</c:v>
                </c:pt>
                <c:pt idx="20">
                  <c:v>5.541868512110726</c:v>
                </c:pt>
                <c:pt idx="21">
                  <c:v>5.106612685560054</c:v>
                </c:pt>
                <c:pt idx="22">
                  <c:v>4.734908136482939</c:v>
                </c:pt>
                <c:pt idx="23">
                  <c:v>5.092670490758445</c:v>
                </c:pt>
                <c:pt idx="24">
                  <c:v>4.846853582554517</c:v>
                </c:pt>
                <c:pt idx="25">
                  <c:v>4.070674846625767</c:v>
                </c:pt>
                <c:pt idx="26">
                  <c:v>4.0038415366146465</c:v>
                </c:pt>
                <c:pt idx="27">
                  <c:v>5.82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Sheet1!$G$176</c:f>
              <c:strCache>
                <c:ptCount val="1"/>
                <c:pt idx="0">
                  <c:v>Residential Natural Gas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Residential Natural Gas Real Price Trend</c:nam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Residential Natural Gas Real Price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
y = 5E-05x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- 0.2882x + 11.762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0.8949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Sheet1!$C$177:$C$214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Sheet1!$G$177:$G$214</c:f>
              <c:numCache>
                <c:ptCount val="38"/>
                <c:pt idx="0">
                  <c:v>11.297297297297298</c:v>
                </c:pt>
                <c:pt idx="1">
                  <c:v>10.103042596348885</c:v>
                </c:pt>
                <c:pt idx="2">
                  <c:v>10.206691449814127</c:v>
                </c:pt>
                <c:pt idx="3">
                  <c:v>10.54762741652021</c:v>
                </c:pt>
                <c:pt idx="4">
                  <c:v>11.065346534653466</c:v>
                </c:pt>
                <c:pt idx="5">
                  <c:v>10.257668711656441</c:v>
                </c:pt>
                <c:pt idx="6">
                  <c:v>9.769696969696971</c:v>
                </c:pt>
                <c:pt idx="7">
                  <c:v>9.312621359223302</c:v>
                </c:pt>
                <c:pt idx="8">
                  <c:v>8.906490649064907</c:v>
                </c:pt>
                <c:pt idx="9">
                  <c:v>9.520414507772019</c:v>
                </c:pt>
                <c:pt idx="10">
                  <c:v>10.42570281124498</c:v>
                </c:pt>
                <c:pt idx="11">
                  <c:v>9.689316650625601</c:v>
                </c:pt>
                <c:pt idx="12">
                  <c:v>9.028996282527881</c:v>
                </c:pt>
                <c:pt idx="13">
                  <c:v>8.302189781021898</c:v>
                </c:pt>
                <c:pt idx="14">
                  <c:v>7.328169014084509</c:v>
                </c:pt>
                <c:pt idx="15">
                  <c:v>6.679966187658496</c:v>
                </c:pt>
                <c:pt idx="16">
                  <c:v>6.259354838709677</c:v>
                </c:pt>
                <c:pt idx="17">
                  <c:v>5.8038255547054325</c:v>
                </c:pt>
                <c:pt idx="18">
                  <c:v>5.349779735682819</c:v>
                </c:pt>
                <c:pt idx="19">
                  <c:v>5.105630791161796</c:v>
                </c:pt>
                <c:pt idx="20">
                  <c:v>5.054671280276817</c:v>
                </c:pt>
                <c:pt idx="21">
                  <c:v>4.987854251012147</c:v>
                </c:pt>
                <c:pt idx="22">
                  <c:v>4.469291338582677</c:v>
                </c:pt>
                <c:pt idx="23">
                  <c:v>4.408413001912046</c:v>
                </c:pt>
                <c:pt idx="24">
                  <c:v>4.616573208722741</c:v>
                </c:pt>
                <c:pt idx="25">
                  <c:v>4.373006134969325</c:v>
                </c:pt>
                <c:pt idx="26">
                  <c:v>4.13061224489796</c:v>
                </c:pt>
                <c:pt idx="27">
                  <c:v>5.71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Sheet1!$H$176</c:f>
              <c:strCache>
                <c:ptCount val="1"/>
                <c:pt idx="0">
                  <c:v>Residential Electricity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trendline>
            <c:name>Residential Electricity Real Price Trend</c:name>
            <c:spPr>
              <a:ln w="25400">
                <a:solidFill>
                  <a:srgbClr val="00FF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9966"/>
                        </a:solidFill>
                        <a:latin typeface="Helv"/>
                        <a:ea typeface="Helv"/>
                        <a:cs typeface="Helv"/>
                      </a:rPr>
                      <a:t>Residential Electricity Real Price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
y = 0.067x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- 3.8724x + 71.672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0.9897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Sheet1!$C$177:$C$214</c:f>
              <c:numCache>
                <c:ptCount val="3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</c:numCache>
            </c:numRef>
          </c:cat>
          <c:val>
            <c:numRef>
              <c:f>Sheet1!$H$177:$H$214</c:f>
              <c:numCache>
                <c:ptCount val="38"/>
                <c:pt idx="0">
                  <c:v>65.4054054054054</c:v>
                </c:pt>
                <c:pt idx="1">
                  <c:v>65.7947261663286</c:v>
                </c:pt>
                <c:pt idx="2">
                  <c:v>62.38513011152417</c:v>
                </c:pt>
                <c:pt idx="3">
                  <c:v>58.95536028119508</c:v>
                </c:pt>
                <c:pt idx="4">
                  <c:v>57.59207920792079</c:v>
                </c:pt>
                <c:pt idx="5">
                  <c:v>52.17914110429447</c:v>
                </c:pt>
                <c:pt idx="6">
                  <c:v>45.01818181818182</c:v>
                </c:pt>
                <c:pt idx="7">
                  <c:v>41.03106796116505</c:v>
                </c:pt>
                <c:pt idx="8">
                  <c:v>38.7045104510451</c:v>
                </c:pt>
                <c:pt idx="9">
                  <c:v>38.22756476683938</c:v>
                </c:pt>
                <c:pt idx="10">
                  <c:v>37.444176706827314</c:v>
                </c:pt>
                <c:pt idx="11">
                  <c:v>34.166698748796925</c:v>
                </c:pt>
                <c:pt idx="12">
                  <c:v>32.92639405204461</c:v>
                </c:pt>
                <c:pt idx="13">
                  <c:v>31.859854014598543</c:v>
                </c:pt>
                <c:pt idx="14">
                  <c:v>29.777464788732395</c:v>
                </c:pt>
                <c:pt idx="15">
                  <c:v>27.567878275570585</c:v>
                </c:pt>
                <c:pt idx="16">
                  <c:v>25.661935483870963</c:v>
                </c:pt>
                <c:pt idx="17">
                  <c:v>23.646212700841623</c:v>
                </c:pt>
                <c:pt idx="18">
                  <c:v>22.355359765051396</c:v>
                </c:pt>
                <c:pt idx="19">
                  <c:v>21.513898788310758</c:v>
                </c:pt>
                <c:pt idx="20">
                  <c:v>20.559723183391</c:v>
                </c:pt>
                <c:pt idx="21">
                  <c:v>19.678272604588397</c:v>
                </c:pt>
                <c:pt idx="22">
                  <c:v>18.6509186351706</c:v>
                </c:pt>
                <c:pt idx="23">
                  <c:v>17.521478648820903</c:v>
                </c:pt>
                <c:pt idx="24">
                  <c:v>16.87626168224299</c:v>
                </c:pt>
                <c:pt idx="25">
                  <c:v>16.034355828220857</c:v>
                </c:pt>
                <c:pt idx="26">
                  <c:v>15.170228091236496</c:v>
                </c:pt>
                <c:pt idx="27">
                  <c:v>14.72</c:v>
                </c:pt>
              </c:numCache>
            </c:numRef>
          </c:val>
          <c:smooth val="0"/>
        </c:ser>
        <c:marker val="1"/>
        <c:axId val="13528155"/>
        <c:axId val="54644532"/>
      </c:lineChart>
      <c:catAx>
        <c:axId val="13528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4644532"/>
        <c:crosses val="autoZero"/>
        <c:auto val="1"/>
        <c:lblOffset val="100"/>
        <c:noMultiLvlLbl val="0"/>
      </c:catAx>
      <c:valAx>
        <c:axId val="5464453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352815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7955"/>
          <c:w val="0.95675"/>
          <c:h val="0.12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19050</xdr:rowOff>
    </xdr:from>
    <xdr:to>
      <xdr:col>12</xdr:col>
      <xdr:colOff>371475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466725" y="1581150"/>
        <a:ext cx="81343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29</xdr:row>
      <xdr:rowOff>28575</xdr:rowOff>
    </xdr:from>
    <xdr:to>
      <xdr:col>12</xdr:col>
      <xdr:colOff>409575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476250" y="4638675"/>
        <a:ext cx="81629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49</xdr:row>
      <xdr:rowOff>19050</xdr:rowOff>
    </xdr:from>
    <xdr:to>
      <xdr:col>12</xdr:col>
      <xdr:colOff>409575</xdr:colOff>
      <xdr:row>66</xdr:row>
      <xdr:rowOff>28575</xdr:rowOff>
    </xdr:to>
    <xdr:graphicFrame>
      <xdr:nvGraphicFramePr>
        <xdr:cNvPr id="3" name="Chart 3"/>
        <xdr:cNvGraphicFramePr/>
      </xdr:nvGraphicFramePr>
      <xdr:xfrm>
        <a:off x="495300" y="7677150"/>
        <a:ext cx="81438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133350</xdr:colOff>
      <xdr:row>69</xdr:row>
      <xdr:rowOff>9525</xdr:rowOff>
    </xdr:from>
    <xdr:to>
      <xdr:col>12</xdr:col>
      <xdr:colOff>447675</xdr:colOff>
      <xdr:row>87</xdr:row>
      <xdr:rowOff>85725</xdr:rowOff>
    </xdr:to>
    <xdr:graphicFrame>
      <xdr:nvGraphicFramePr>
        <xdr:cNvPr id="4" name="Chart 4"/>
        <xdr:cNvGraphicFramePr/>
      </xdr:nvGraphicFramePr>
      <xdr:xfrm>
        <a:off x="533400" y="10715625"/>
        <a:ext cx="81438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161925</xdr:colOff>
      <xdr:row>88</xdr:row>
      <xdr:rowOff>95250</xdr:rowOff>
    </xdr:from>
    <xdr:to>
      <xdr:col>12</xdr:col>
      <xdr:colOff>466725</xdr:colOff>
      <xdr:row>110</xdr:row>
      <xdr:rowOff>95250</xdr:rowOff>
    </xdr:to>
    <xdr:graphicFrame>
      <xdr:nvGraphicFramePr>
        <xdr:cNvPr id="5" name="Chart 5"/>
        <xdr:cNvGraphicFramePr/>
      </xdr:nvGraphicFramePr>
      <xdr:xfrm>
        <a:off x="561975" y="13696950"/>
        <a:ext cx="8134350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171450</xdr:colOff>
      <xdr:row>112</xdr:row>
      <xdr:rowOff>76200</xdr:rowOff>
    </xdr:from>
    <xdr:to>
      <xdr:col>12</xdr:col>
      <xdr:colOff>504825</xdr:colOff>
      <xdr:row>132</xdr:row>
      <xdr:rowOff>123825</xdr:rowOff>
    </xdr:to>
    <xdr:graphicFrame>
      <xdr:nvGraphicFramePr>
        <xdr:cNvPr id="6" name="Chart 6"/>
        <xdr:cNvGraphicFramePr/>
      </xdr:nvGraphicFramePr>
      <xdr:xfrm>
        <a:off x="571500" y="17335500"/>
        <a:ext cx="8162925" cy="3095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209550</xdr:colOff>
      <xdr:row>137</xdr:row>
      <xdr:rowOff>28575</xdr:rowOff>
    </xdr:from>
    <xdr:to>
      <xdr:col>12</xdr:col>
      <xdr:colOff>514350</xdr:colOff>
      <xdr:row>157</xdr:row>
      <xdr:rowOff>19050</xdr:rowOff>
    </xdr:to>
    <xdr:graphicFrame>
      <xdr:nvGraphicFramePr>
        <xdr:cNvPr id="7" name="Chart 7"/>
        <xdr:cNvGraphicFramePr/>
      </xdr:nvGraphicFramePr>
      <xdr:xfrm>
        <a:off x="609600" y="21097875"/>
        <a:ext cx="8134350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257175</xdr:colOff>
      <xdr:row>158</xdr:row>
      <xdr:rowOff>28575</xdr:rowOff>
    </xdr:from>
    <xdr:to>
      <xdr:col>12</xdr:col>
      <xdr:colOff>542925</xdr:colOff>
      <xdr:row>179</xdr:row>
      <xdr:rowOff>142875</xdr:rowOff>
    </xdr:to>
    <xdr:graphicFrame>
      <xdr:nvGraphicFramePr>
        <xdr:cNvPr id="8" name="Chart 8"/>
        <xdr:cNvGraphicFramePr/>
      </xdr:nvGraphicFramePr>
      <xdr:xfrm>
        <a:off x="657225" y="24298275"/>
        <a:ext cx="8115300" cy="3314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257175</xdr:colOff>
      <xdr:row>180</xdr:row>
      <xdr:rowOff>76200</xdr:rowOff>
    </xdr:from>
    <xdr:to>
      <xdr:col>12</xdr:col>
      <xdr:colOff>542925</xdr:colOff>
      <xdr:row>203</xdr:row>
      <xdr:rowOff>57150</xdr:rowOff>
    </xdr:to>
    <xdr:graphicFrame>
      <xdr:nvGraphicFramePr>
        <xdr:cNvPr id="9" name="Chart 9"/>
        <xdr:cNvGraphicFramePr/>
      </xdr:nvGraphicFramePr>
      <xdr:xfrm>
        <a:off x="657225" y="27698700"/>
        <a:ext cx="8115300" cy="3486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190500</xdr:colOff>
      <xdr:row>205</xdr:row>
      <xdr:rowOff>0</xdr:rowOff>
    </xdr:from>
    <xdr:to>
      <xdr:col>12</xdr:col>
      <xdr:colOff>504825</xdr:colOff>
      <xdr:row>225</xdr:row>
      <xdr:rowOff>95250</xdr:rowOff>
    </xdr:to>
    <xdr:graphicFrame>
      <xdr:nvGraphicFramePr>
        <xdr:cNvPr id="10" name="Chart 10"/>
        <xdr:cNvGraphicFramePr/>
      </xdr:nvGraphicFramePr>
      <xdr:xfrm>
        <a:off x="590550" y="31432500"/>
        <a:ext cx="8143875" cy="3143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200025</xdr:colOff>
      <xdr:row>226</xdr:row>
      <xdr:rowOff>28575</xdr:rowOff>
    </xdr:from>
    <xdr:to>
      <xdr:col>12</xdr:col>
      <xdr:colOff>476250</xdr:colOff>
      <xdr:row>246</xdr:row>
      <xdr:rowOff>123825</xdr:rowOff>
    </xdr:to>
    <xdr:graphicFrame>
      <xdr:nvGraphicFramePr>
        <xdr:cNvPr id="11" name="Chart 11"/>
        <xdr:cNvGraphicFramePr/>
      </xdr:nvGraphicFramePr>
      <xdr:xfrm>
        <a:off x="600075" y="34661475"/>
        <a:ext cx="8105775" cy="3143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200025</xdr:colOff>
      <xdr:row>248</xdr:row>
      <xdr:rowOff>47625</xdr:rowOff>
    </xdr:from>
    <xdr:to>
      <xdr:col>12</xdr:col>
      <xdr:colOff>466725</xdr:colOff>
      <xdr:row>264</xdr:row>
      <xdr:rowOff>95250</xdr:rowOff>
    </xdr:to>
    <xdr:graphicFrame>
      <xdr:nvGraphicFramePr>
        <xdr:cNvPr id="12" name="Chart 12"/>
        <xdr:cNvGraphicFramePr/>
      </xdr:nvGraphicFramePr>
      <xdr:xfrm>
        <a:off x="600075" y="38033325"/>
        <a:ext cx="8096250" cy="2486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257175</xdr:colOff>
      <xdr:row>272</xdr:row>
      <xdr:rowOff>142875</xdr:rowOff>
    </xdr:from>
    <xdr:to>
      <xdr:col>12</xdr:col>
      <xdr:colOff>447675</xdr:colOff>
      <xdr:row>295</xdr:row>
      <xdr:rowOff>28575</xdr:rowOff>
    </xdr:to>
    <xdr:graphicFrame>
      <xdr:nvGraphicFramePr>
        <xdr:cNvPr id="13" name="Chart 13"/>
        <xdr:cNvGraphicFramePr/>
      </xdr:nvGraphicFramePr>
      <xdr:xfrm>
        <a:off x="657225" y="41786175"/>
        <a:ext cx="8020050" cy="3390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304800</xdr:colOff>
      <xdr:row>297</xdr:row>
      <xdr:rowOff>76200</xdr:rowOff>
    </xdr:from>
    <xdr:to>
      <xdr:col>12</xdr:col>
      <xdr:colOff>476250</xdr:colOff>
      <xdr:row>316</xdr:row>
      <xdr:rowOff>95250</xdr:rowOff>
    </xdr:to>
    <xdr:graphicFrame>
      <xdr:nvGraphicFramePr>
        <xdr:cNvPr id="14" name="Chart 14"/>
        <xdr:cNvGraphicFramePr/>
      </xdr:nvGraphicFramePr>
      <xdr:xfrm>
        <a:off x="704850" y="45529500"/>
        <a:ext cx="8001000" cy="2914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295275</xdr:colOff>
      <xdr:row>318</xdr:row>
      <xdr:rowOff>104775</xdr:rowOff>
    </xdr:from>
    <xdr:to>
      <xdr:col>12</xdr:col>
      <xdr:colOff>438150</xdr:colOff>
      <xdr:row>338</xdr:row>
      <xdr:rowOff>57150</xdr:rowOff>
    </xdr:to>
    <xdr:graphicFrame>
      <xdr:nvGraphicFramePr>
        <xdr:cNvPr id="15" name="Chart 15"/>
        <xdr:cNvGraphicFramePr/>
      </xdr:nvGraphicFramePr>
      <xdr:xfrm>
        <a:off x="695325" y="48758475"/>
        <a:ext cx="7972425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352425</xdr:colOff>
      <xdr:row>341</xdr:row>
      <xdr:rowOff>9525</xdr:rowOff>
    </xdr:from>
    <xdr:to>
      <xdr:col>12</xdr:col>
      <xdr:colOff>428625</xdr:colOff>
      <xdr:row>360</xdr:row>
      <xdr:rowOff>57150</xdr:rowOff>
    </xdr:to>
    <xdr:graphicFrame>
      <xdr:nvGraphicFramePr>
        <xdr:cNvPr id="16" name="Chart 16"/>
        <xdr:cNvGraphicFramePr/>
      </xdr:nvGraphicFramePr>
      <xdr:xfrm>
        <a:off x="752475" y="52168425"/>
        <a:ext cx="7905750" cy="2943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295275</xdr:colOff>
      <xdr:row>361</xdr:row>
      <xdr:rowOff>95250</xdr:rowOff>
    </xdr:from>
    <xdr:to>
      <xdr:col>12</xdr:col>
      <xdr:colOff>428625</xdr:colOff>
      <xdr:row>382</xdr:row>
      <xdr:rowOff>85725</xdr:rowOff>
    </xdr:to>
    <xdr:graphicFrame>
      <xdr:nvGraphicFramePr>
        <xdr:cNvPr id="17" name="Chart 17"/>
        <xdr:cNvGraphicFramePr/>
      </xdr:nvGraphicFramePr>
      <xdr:xfrm>
        <a:off x="695325" y="55302150"/>
        <a:ext cx="7962900" cy="3190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352425</xdr:colOff>
      <xdr:row>384</xdr:row>
      <xdr:rowOff>19050</xdr:rowOff>
    </xdr:from>
    <xdr:to>
      <xdr:col>12</xdr:col>
      <xdr:colOff>466725</xdr:colOff>
      <xdr:row>406</xdr:row>
      <xdr:rowOff>76200</xdr:rowOff>
    </xdr:to>
    <xdr:graphicFrame>
      <xdr:nvGraphicFramePr>
        <xdr:cNvPr id="18" name="Chart 18"/>
        <xdr:cNvGraphicFramePr/>
      </xdr:nvGraphicFramePr>
      <xdr:xfrm>
        <a:off x="752475" y="58731150"/>
        <a:ext cx="7943850" cy="3409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304800</xdr:colOff>
      <xdr:row>409</xdr:row>
      <xdr:rowOff>9525</xdr:rowOff>
    </xdr:from>
    <xdr:to>
      <xdr:col>12</xdr:col>
      <xdr:colOff>371475</xdr:colOff>
      <xdr:row>429</xdr:row>
      <xdr:rowOff>57150</xdr:rowOff>
    </xdr:to>
    <xdr:graphicFrame>
      <xdr:nvGraphicFramePr>
        <xdr:cNvPr id="19" name="Chart 19"/>
        <xdr:cNvGraphicFramePr/>
      </xdr:nvGraphicFramePr>
      <xdr:xfrm>
        <a:off x="704850" y="62531625"/>
        <a:ext cx="7896225" cy="3095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295275</xdr:colOff>
      <xdr:row>430</xdr:row>
      <xdr:rowOff>76200</xdr:rowOff>
    </xdr:from>
    <xdr:to>
      <xdr:col>12</xdr:col>
      <xdr:colOff>342900</xdr:colOff>
      <xdr:row>450</xdr:row>
      <xdr:rowOff>47625</xdr:rowOff>
    </xdr:to>
    <xdr:graphicFrame>
      <xdr:nvGraphicFramePr>
        <xdr:cNvPr id="20" name="Chart 20"/>
        <xdr:cNvGraphicFramePr/>
      </xdr:nvGraphicFramePr>
      <xdr:xfrm>
        <a:off x="695325" y="65798700"/>
        <a:ext cx="7877175" cy="3019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295275</xdr:colOff>
      <xdr:row>451</xdr:row>
      <xdr:rowOff>47625</xdr:rowOff>
    </xdr:from>
    <xdr:to>
      <xdr:col>12</xdr:col>
      <xdr:colOff>314325</xdr:colOff>
      <xdr:row>474</xdr:row>
      <xdr:rowOff>104775</xdr:rowOff>
    </xdr:to>
    <xdr:graphicFrame>
      <xdr:nvGraphicFramePr>
        <xdr:cNvPr id="21" name="Chart 21"/>
        <xdr:cNvGraphicFramePr/>
      </xdr:nvGraphicFramePr>
      <xdr:xfrm>
        <a:off x="695325" y="68970525"/>
        <a:ext cx="7848600" cy="35623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171450</xdr:colOff>
      <xdr:row>477</xdr:row>
      <xdr:rowOff>76200</xdr:rowOff>
    </xdr:from>
    <xdr:to>
      <xdr:col>12</xdr:col>
      <xdr:colOff>476250</xdr:colOff>
      <xdr:row>496</xdr:row>
      <xdr:rowOff>95250</xdr:rowOff>
    </xdr:to>
    <xdr:graphicFrame>
      <xdr:nvGraphicFramePr>
        <xdr:cNvPr id="22" name="Chart 22"/>
        <xdr:cNvGraphicFramePr/>
      </xdr:nvGraphicFramePr>
      <xdr:xfrm>
        <a:off x="571500" y="72961500"/>
        <a:ext cx="8134350" cy="29146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209550</xdr:colOff>
      <xdr:row>498</xdr:row>
      <xdr:rowOff>0</xdr:rowOff>
    </xdr:from>
    <xdr:to>
      <xdr:col>12</xdr:col>
      <xdr:colOff>466725</xdr:colOff>
      <xdr:row>518</xdr:row>
      <xdr:rowOff>95250</xdr:rowOff>
    </xdr:to>
    <xdr:graphicFrame>
      <xdr:nvGraphicFramePr>
        <xdr:cNvPr id="23" name="Chart 23"/>
        <xdr:cNvGraphicFramePr/>
      </xdr:nvGraphicFramePr>
      <xdr:xfrm>
        <a:off x="609600" y="76085700"/>
        <a:ext cx="8086725" cy="31432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161925</xdr:colOff>
      <xdr:row>520</xdr:row>
      <xdr:rowOff>0</xdr:rowOff>
    </xdr:from>
    <xdr:to>
      <xdr:col>12</xdr:col>
      <xdr:colOff>381000</xdr:colOff>
      <xdr:row>542</xdr:row>
      <xdr:rowOff>19050</xdr:rowOff>
    </xdr:to>
    <xdr:graphicFrame>
      <xdr:nvGraphicFramePr>
        <xdr:cNvPr id="24" name="Chart 24"/>
        <xdr:cNvGraphicFramePr/>
      </xdr:nvGraphicFramePr>
      <xdr:xfrm>
        <a:off x="561975" y="79438500"/>
        <a:ext cx="8048625" cy="33718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171450</xdr:colOff>
      <xdr:row>545</xdr:row>
      <xdr:rowOff>19050</xdr:rowOff>
    </xdr:from>
    <xdr:to>
      <xdr:col>12</xdr:col>
      <xdr:colOff>438150</xdr:colOff>
      <xdr:row>567</xdr:row>
      <xdr:rowOff>142875</xdr:rowOff>
    </xdr:to>
    <xdr:graphicFrame>
      <xdr:nvGraphicFramePr>
        <xdr:cNvPr id="25" name="Chart 25"/>
        <xdr:cNvGraphicFramePr/>
      </xdr:nvGraphicFramePr>
      <xdr:xfrm>
        <a:off x="571500" y="83267550"/>
        <a:ext cx="8096250" cy="3476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161925</xdr:colOff>
      <xdr:row>569</xdr:row>
      <xdr:rowOff>57150</xdr:rowOff>
    </xdr:from>
    <xdr:to>
      <xdr:col>12</xdr:col>
      <xdr:colOff>438150</xdr:colOff>
      <xdr:row>590</xdr:row>
      <xdr:rowOff>123825</xdr:rowOff>
    </xdr:to>
    <xdr:graphicFrame>
      <xdr:nvGraphicFramePr>
        <xdr:cNvPr id="26" name="Chart 26"/>
        <xdr:cNvGraphicFramePr/>
      </xdr:nvGraphicFramePr>
      <xdr:xfrm>
        <a:off x="561975" y="86963250"/>
        <a:ext cx="8105775" cy="3267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161925</xdr:colOff>
      <xdr:row>592</xdr:row>
      <xdr:rowOff>66675</xdr:rowOff>
    </xdr:from>
    <xdr:to>
      <xdr:col>12</xdr:col>
      <xdr:colOff>400050</xdr:colOff>
      <xdr:row>613</xdr:row>
      <xdr:rowOff>28575</xdr:rowOff>
    </xdr:to>
    <xdr:graphicFrame>
      <xdr:nvGraphicFramePr>
        <xdr:cNvPr id="27" name="Chart 27"/>
        <xdr:cNvGraphicFramePr/>
      </xdr:nvGraphicFramePr>
      <xdr:xfrm>
        <a:off x="561975" y="90477975"/>
        <a:ext cx="8067675" cy="31623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4"/>
  <sheetViews>
    <sheetView workbookViewId="0" topLeftCell="A1">
      <selection activeCell="B3" sqref="B3"/>
    </sheetView>
  </sheetViews>
  <sheetFormatPr defaultColWidth="11.421875" defaultRowHeight="12"/>
  <cols>
    <col min="1" max="1" width="5.57421875" style="8" customWidth="1"/>
    <col min="2" max="2" width="8.57421875" style="8" customWidth="1"/>
    <col min="3" max="3" width="9.00390625" style="1" customWidth="1"/>
    <col min="4" max="4" width="12.8515625" style="1" bestFit="1" customWidth="1"/>
    <col min="5" max="5" width="11.57421875" style="1" customWidth="1"/>
    <col min="6" max="6" width="11.8515625" style="1" customWidth="1"/>
    <col min="7" max="7" width="8.421875" style="1" customWidth="1"/>
    <col min="8" max="8" width="11.57421875" style="1" customWidth="1"/>
    <col min="9" max="9" width="9.57421875" style="1" customWidth="1"/>
    <col min="10" max="10" width="12.57421875" style="1" bestFit="1" customWidth="1"/>
    <col min="11" max="12" width="11.00390625" style="1" customWidth="1"/>
    <col min="13" max="13" width="8.140625" style="1" customWidth="1"/>
    <col min="14" max="14" width="7.421875" style="1" customWidth="1"/>
    <col min="15" max="15" width="3.8515625" style="1" customWidth="1"/>
    <col min="16" max="16384" width="11.00390625" style="1" customWidth="1"/>
  </cols>
  <sheetData>
    <row r="1" spans="1:10" s="3" customFormat="1" ht="16.5" customHeight="1" thickBot="1">
      <c r="A1" s="11"/>
      <c r="B1" s="11"/>
      <c r="C1" s="11"/>
      <c r="D1" s="11"/>
      <c r="E1" s="25"/>
      <c r="F1" s="37"/>
      <c r="G1" s="26" t="s">
        <v>120</v>
      </c>
      <c r="H1" s="37"/>
      <c r="I1" s="37"/>
      <c r="J1" s="38"/>
    </row>
    <row r="2" spans="1:13" s="3" customFormat="1" ht="16.5" customHeight="1">
      <c r="A2" s="11"/>
      <c r="B2" s="23" t="s">
        <v>1</v>
      </c>
      <c r="M2" s="24" t="s">
        <v>0</v>
      </c>
    </row>
    <row r="3" spans="1:4" s="3" customFormat="1" ht="16.5" customHeight="1">
      <c r="A3" s="11"/>
      <c r="B3" s="11"/>
      <c r="C3" s="11" t="s">
        <v>2</v>
      </c>
      <c r="D3" s="11"/>
    </row>
    <row r="4" spans="1:4" s="3" customFormat="1" ht="16.5" customHeight="1">
      <c r="A4" s="11"/>
      <c r="B4" s="11"/>
      <c r="C4" s="11" t="s">
        <v>3</v>
      </c>
      <c r="D4" s="11"/>
    </row>
    <row r="5" spans="1:4" s="3" customFormat="1" ht="16.5" customHeight="1">
      <c r="A5" s="11"/>
      <c r="B5" s="11"/>
      <c r="C5" s="11" t="s">
        <v>4</v>
      </c>
      <c r="D5" s="11"/>
    </row>
    <row r="6" spans="1:4" s="3" customFormat="1" ht="16.5" customHeight="1">
      <c r="A6" s="11"/>
      <c r="B6" s="11"/>
      <c r="C6" s="11" t="s">
        <v>5</v>
      </c>
      <c r="D6" s="11"/>
    </row>
    <row r="7" spans="3:4" ht="16.5" customHeight="1">
      <c r="C7" s="11" t="s">
        <v>113</v>
      </c>
      <c r="D7" s="11"/>
    </row>
    <row r="8" ht="12.75" thickBot="1"/>
    <row r="9" spans="5:9" ht="16.5" customHeight="1" thickBot="1">
      <c r="E9" s="4"/>
      <c r="F9" s="7"/>
      <c r="G9" s="5" t="s">
        <v>7</v>
      </c>
      <c r="H9" s="7"/>
      <c r="I9" s="6"/>
    </row>
    <row r="10" ht="0.75" customHeight="1">
      <c r="G10" s="2" t="s">
        <v>8</v>
      </c>
    </row>
    <row r="11" ht="0.75" customHeight="1"/>
    <row r="12" spans="3:9" ht="0.75" customHeight="1">
      <c r="C12" s="2" t="s">
        <v>9</v>
      </c>
      <c r="D12" s="2"/>
      <c r="E12" s="2" t="s">
        <v>10</v>
      </c>
      <c r="F12" s="2" t="s">
        <v>11</v>
      </c>
      <c r="G12" s="2" t="s">
        <v>12</v>
      </c>
      <c r="H12" s="1" t="s">
        <v>13</v>
      </c>
      <c r="I12" s="1" t="s">
        <v>14</v>
      </c>
    </row>
    <row r="13" spans="2:9" ht="0.75" customHeight="1">
      <c r="B13" s="8">
        <v>1973</v>
      </c>
      <c r="C13" s="1">
        <v>63.585</v>
      </c>
      <c r="E13" s="1">
        <v>75.808</v>
      </c>
      <c r="F13" s="1">
        <v>14.731</v>
      </c>
      <c r="G13" s="1">
        <v>2.051</v>
      </c>
      <c r="H13" s="1">
        <v>12.68</v>
      </c>
      <c r="I13" s="10">
        <f>H13/E13</f>
        <v>0.16726466863655548</v>
      </c>
    </row>
    <row r="14" spans="2:9" ht="0.75" customHeight="1">
      <c r="B14" s="8">
        <v>1974</v>
      </c>
      <c r="C14" s="1">
        <v>62.372</v>
      </c>
      <c r="E14" s="1">
        <v>74.08</v>
      </c>
      <c r="F14" s="1">
        <v>14.413</v>
      </c>
      <c r="G14" s="1">
        <v>2.223</v>
      </c>
      <c r="H14" s="1">
        <v>12.19</v>
      </c>
      <c r="I14" s="10">
        <f aca="true" t="shared" si="0" ref="I14:I40">H14/E14</f>
        <v>0.16455183585313174</v>
      </c>
    </row>
    <row r="15" spans="2:9" ht="0.75" customHeight="1">
      <c r="B15" s="8">
        <v>1975</v>
      </c>
      <c r="C15" s="1">
        <v>61.357</v>
      </c>
      <c r="E15" s="1">
        <v>72.042</v>
      </c>
      <c r="F15" s="1">
        <v>14.111</v>
      </c>
      <c r="G15" s="1">
        <v>2.359</v>
      </c>
      <c r="H15" s="1">
        <v>11.752</v>
      </c>
      <c r="I15" s="10">
        <f t="shared" si="0"/>
        <v>0.16312706476777436</v>
      </c>
    </row>
    <row r="16" spans="2:9" ht="0.75" customHeight="1">
      <c r="B16" s="8">
        <v>1976</v>
      </c>
      <c r="C16" s="1">
        <v>61.602</v>
      </c>
      <c r="E16" s="1">
        <v>76.072</v>
      </c>
      <c r="F16" s="1">
        <v>16.837</v>
      </c>
      <c r="G16" s="1">
        <v>2.188</v>
      </c>
      <c r="H16" s="1">
        <v>14.648</v>
      </c>
      <c r="I16" s="10">
        <f t="shared" si="0"/>
        <v>0.19255442212640655</v>
      </c>
    </row>
    <row r="17" spans="2:9" ht="0.75" customHeight="1">
      <c r="B17" s="8">
        <v>1977</v>
      </c>
      <c r="C17" s="1">
        <v>62.052</v>
      </c>
      <c r="E17" s="1">
        <v>78.122</v>
      </c>
      <c r="F17" s="1">
        <v>20.9</v>
      </c>
      <c r="G17" s="1">
        <v>2.071</v>
      </c>
      <c r="H17" s="1">
        <v>18.019</v>
      </c>
      <c r="I17" s="10">
        <f t="shared" si="0"/>
        <v>0.23065205703899028</v>
      </c>
    </row>
    <row r="18" spans="2:9" ht="0.75" customHeight="1">
      <c r="B18" s="8">
        <v>1978</v>
      </c>
      <c r="C18" s="1">
        <v>63.137</v>
      </c>
      <c r="E18" s="1">
        <v>80.123</v>
      </c>
      <c r="F18" s="1">
        <v>19.254</v>
      </c>
      <c r="G18" s="1">
        <v>1.931</v>
      </c>
      <c r="H18" s="1">
        <v>17.323</v>
      </c>
      <c r="I18" s="10">
        <f t="shared" si="0"/>
        <v>0.21620508468230096</v>
      </c>
    </row>
    <row r="19" spans="2:9" ht="0.75" customHeight="1">
      <c r="B19" s="8">
        <v>1979</v>
      </c>
      <c r="C19" s="1">
        <v>65.948</v>
      </c>
      <c r="E19" s="1">
        <v>81.044</v>
      </c>
      <c r="F19" s="1">
        <v>19.616</v>
      </c>
      <c r="G19" s="1">
        <v>2.87</v>
      </c>
      <c r="H19" s="1">
        <v>16.746</v>
      </c>
      <c r="I19" s="10">
        <f t="shared" si="0"/>
        <v>0.20662849809979764</v>
      </c>
    </row>
    <row r="20" spans="2:9" ht="0.75" customHeight="1">
      <c r="B20" s="8">
        <v>1980</v>
      </c>
      <c r="C20" s="1">
        <v>67.241</v>
      </c>
      <c r="E20" s="1">
        <v>78.435</v>
      </c>
      <c r="F20" s="1">
        <v>15.971</v>
      </c>
      <c r="G20" s="1">
        <v>3.723</v>
      </c>
      <c r="H20" s="1">
        <v>12.247</v>
      </c>
      <c r="I20" s="10">
        <f t="shared" si="0"/>
        <v>0.15614202843118505</v>
      </c>
    </row>
    <row r="21" spans="2:9" ht="0.75" customHeight="1">
      <c r="B21" s="8">
        <v>1981</v>
      </c>
      <c r="C21" s="1">
        <v>67.007</v>
      </c>
      <c r="E21" s="1">
        <v>76.569</v>
      </c>
      <c r="F21" s="1">
        <v>13.975</v>
      </c>
      <c r="G21" s="1">
        <v>4.329</v>
      </c>
      <c r="H21" s="1">
        <v>9.646</v>
      </c>
      <c r="I21" s="10">
        <f t="shared" si="0"/>
        <v>0.12597787616398282</v>
      </c>
    </row>
    <row r="22" spans="2:9" ht="0.75" customHeight="1">
      <c r="B22" s="8">
        <v>1982</v>
      </c>
      <c r="C22" s="1">
        <v>66.574</v>
      </c>
      <c r="E22" s="1">
        <v>73.44</v>
      </c>
      <c r="F22" s="1">
        <v>12.092</v>
      </c>
      <c r="G22" s="1">
        <v>4.633</v>
      </c>
      <c r="H22" s="1">
        <v>7.46</v>
      </c>
      <c r="I22" s="10">
        <f t="shared" si="0"/>
        <v>0.10157952069716776</v>
      </c>
    </row>
    <row r="23" spans="2:9" ht="0.75" customHeight="1">
      <c r="B23" s="8">
        <v>1983</v>
      </c>
      <c r="C23" s="1">
        <v>64.106</v>
      </c>
      <c r="E23" s="1">
        <v>73.317</v>
      </c>
      <c r="F23" s="1">
        <v>12.027</v>
      </c>
      <c r="G23" s="1">
        <v>3.717</v>
      </c>
      <c r="H23" s="1">
        <v>8.31</v>
      </c>
      <c r="I23" s="10">
        <f t="shared" si="0"/>
        <v>0.11334342649044561</v>
      </c>
    </row>
    <row r="24" spans="2:9" ht="0.75" customHeight="1">
      <c r="B24" s="8">
        <v>1984</v>
      </c>
      <c r="C24" s="1">
        <v>68.832</v>
      </c>
      <c r="E24" s="1">
        <v>76.972</v>
      </c>
      <c r="F24" s="1">
        <v>12.767</v>
      </c>
      <c r="G24" s="1">
        <v>3.804</v>
      </c>
      <c r="H24" s="1">
        <v>8.963</v>
      </c>
      <c r="I24" s="10">
        <f t="shared" si="0"/>
        <v>0.11644494101751286</v>
      </c>
    </row>
    <row r="25" spans="2:9" ht="0.75" customHeight="1">
      <c r="B25" s="8">
        <v>1985</v>
      </c>
      <c r="C25" s="1">
        <v>67.72</v>
      </c>
      <c r="E25" s="1">
        <v>76.778</v>
      </c>
      <c r="F25" s="1">
        <v>12.103</v>
      </c>
      <c r="G25" s="1">
        <v>4.231</v>
      </c>
      <c r="H25" s="1">
        <v>7.872</v>
      </c>
      <c r="I25" s="10">
        <f t="shared" si="0"/>
        <v>0.10252937039256035</v>
      </c>
    </row>
    <row r="26" spans="2:9" ht="0.75" customHeight="1">
      <c r="B26" s="8">
        <v>1986</v>
      </c>
      <c r="C26" s="1">
        <v>67.178</v>
      </c>
      <c r="E26" s="1">
        <v>77.065</v>
      </c>
      <c r="F26" s="1">
        <v>14.438</v>
      </c>
      <c r="G26" s="1">
        <v>4.055</v>
      </c>
      <c r="H26" s="1">
        <v>10.382</v>
      </c>
      <c r="I26" s="10">
        <f t="shared" si="0"/>
        <v>0.1347174463115552</v>
      </c>
    </row>
    <row r="27" spans="2:9" ht="0.75" customHeight="1">
      <c r="B27" s="8">
        <v>1987</v>
      </c>
      <c r="C27" s="1">
        <v>67.76</v>
      </c>
      <c r="E27" s="1">
        <v>79.633</v>
      </c>
      <c r="F27" s="1">
        <v>15.764</v>
      </c>
      <c r="G27" s="1">
        <v>3.852</v>
      </c>
      <c r="H27" s="1">
        <v>11.911</v>
      </c>
      <c r="I27" s="10">
        <f t="shared" si="0"/>
        <v>0.14957366920748935</v>
      </c>
    </row>
    <row r="28" spans="2:9" ht="0.75" customHeight="1">
      <c r="B28" s="8">
        <v>1988</v>
      </c>
      <c r="C28" s="1">
        <v>69.025</v>
      </c>
      <c r="E28" s="1">
        <v>83.068</v>
      </c>
      <c r="F28" s="1">
        <v>17.564</v>
      </c>
      <c r="G28" s="1">
        <v>4.415</v>
      </c>
      <c r="H28" s="1">
        <v>13.149</v>
      </c>
      <c r="I28" s="10">
        <f t="shared" si="0"/>
        <v>0.1582920017335195</v>
      </c>
    </row>
    <row r="29" spans="2:9" ht="0.75" customHeight="1">
      <c r="B29" s="8">
        <v>1989</v>
      </c>
      <c r="C29" s="1">
        <v>69.457</v>
      </c>
      <c r="E29" s="1">
        <v>84.607</v>
      </c>
      <c r="F29" s="1">
        <v>18.955</v>
      </c>
      <c r="G29" s="1">
        <v>4.767</v>
      </c>
      <c r="H29" s="1">
        <v>14.188</v>
      </c>
      <c r="I29" s="10">
        <f t="shared" si="0"/>
        <v>0.1676929804862482</v>
      </c>
    </row>
    <row r="30" spans="2:9" ht="0.75" customHeight="1">
      <c r="B30" s="8">
        <v>1990</v>
      </c>
      <c r="C30" s="1">
        <v>70.822</v>
      </c>
      <c r="E30" s="1">
        <v>84.214</v>
      </c>
      <c r="F30" s="1">
        <v>18.952</v>
      </c>
      <c r="G30" s="1">
        <v>4.865</v>
      </c>
      <c r="H30" s="1">
        <v>14.087</v>
      </c>
      <c r="I30" s="10">
        <f t="shared" si="0"/>
        <v>0.16727622485572471</v>
      </c>
    </row>
    <row r="31" spans="2:9" ht="0.75" customHeight="1">
      <c r="B31" s="8">
        <v>1991</v>
      </c>
      <c r="C31" s="1">
        <v>70.515</v>
      </c>
      <c r="E31" s="1">
        <v>84.217</v>
      </c>
      <c r="F31" s="1">
        <v>18.497</v>
      </c>
      <c r="G31" s="1">
        <v>5.157</v>
      </c>
      <c r="H31" s="1">
        <v>13.339</v>
      </c>
      <c r="I31" s="10">
        <f t="shared" si="0"/>
        <v>0.15838844888799175</v>
      </c>
    </row>
    <row r="32" spans="2:9" ht="0.75" customHeight="1">
      <c r="B32" s="8">
        <v>1992</v>
      </c>
      <c r="C32" s="1">
        <v>70.056</v>
      </c>
      <c r="E32" s="1">
        <v>85.491</v>
      </c>
      <c r="F32" s="1">
        <v>19.577</v>
      </c>
      <c r="G32" s="1">
        <v>4.957</v>
      </c>
      <c r="H32" s="1">
        <v>14.621</v>
      </c>
      <c r="I32" s="10">
        <f t="shared" si="0"/>
        <v>0.1710238504637915</v>
      </c>
    </row>
    <row r="33" spans="2:9" ht="0.75" customHeight="1">
      <c r="B33" s="8">
        <v>1993</v>
      </c>
      <c r="C33" s="1">
        <v>68.367</v>
      </c>
      <c r="E33" s="1">
        <v>87.281</v>
      </c>
      <c r="F33" s="1">
        <v>21.498</v>
      </c>
      <c r="G33" s="1">
        <v>4.283</v>
      </c>
      <c r="H33" s="1">
        <v>17.215</v>
      </c>
      <c r="I33" s="10">
        <f t="shared" si="0"/>
        <v>0.19723651195563752</v>
      </c>
    </row>
    <row r="34" spans="2:9" ht="0.75" customHeight="1">
      <c r="B34" s="8">
        <v>1994</v>
      </c>
      <c r="C34" s="1">
        <v>70.836</v>
      </c>
      <c r="E34" s="1">
        <v>89.189</v>
      </c>
      <c r="F34" s="1">
        <v>22.726</v>
      </c>
      <c r="G34" s="1">
        <v>4.075</v>
      </c>
      <c r="H34" s="1">
        <v>18.651</v>
      </c>
      <c r="I34" s="10">
        <f t="shared" si="0"/>
        <v>0.20911771631030734</v>
      </c>
    </row>
    <row r="35" spans="2:9" ht="0.75" customHeight="1">
      <c r="B35" s="8">
        <v>1995</v>
      </c>
      <c r="C35" s="1">
        <v>71.291</v>
      </c>
      <c r="E35" s="1">
        <v>90.924</v>
      </c>
      <c r="F35" s="1">
        <v>22.541</v>
      </c>
      <c r="G35" s="1">
        <v>4.536</v>
      </c>
      <c r="H35" s="1">
        <v>18.005</v>
      </c>
      <c r="I35" s="10">
        <f t="shared" si="0"/>
        <v>0.19802252430601378</v>
      </c>
    </row>
    <row r="36" spans="2:9" ht="0.75" customHeight="1">
      <c r="B36" s="8">
        <v>1996</v>
      </c>
      <c r="C36" s="1">
        <v>72.583</v>
      </c>
      <c r="E36" s="1">
        <v>93.902</v>
      </c>
      <c r="F36" s="1">
        <v>23.992</v>
      </c>
      <c r="G36" s="1">
        <v>4.658</v>
      </c>
      <c r="H36" s="1">
        <v>19.334</v>
      </c>
      <c r="I36" s="10">
        <f t="shared" si="0"/>
        <v>0.20589550808289492</v>
      </c>
    </row>
    <row r="37" spans="2:9" ht="0.75" customHeight="1">
      <c r="B37" s="8">
        <v>1997</v>
      </c>
      <c r="C37" s="1">
        <v>72.532</v>
      </c>
      <c r="E37" s="1">
        <v>94.307</v>
      </c>
      <c r="F37" s="1">
        <v>25.516</v>
      </c>
      <c r="G37" s="1">
        <v>4.574</v>
      </c>
      <c r="H37" s="1">
        <v>20.942</v>
      </c>
      <c r="I37" s="10">
        <f t="shared" si="0"/>
        <v>0.22206198903580857</v>
      </c>
    </row>
    <row r="38" spans="2:9" ht="0.75" customHeight="1">
      <c r="B38" s="8">
        <v>1998</v>
      </c>
      <c r="C38" s="1">
        <v>72.553</v>
      </c>
      <c r="E38" s="1">
        <v>94.537</v>
      </c>
      <c r="F38" s="1">
        <v>26.857</v>
      </c>
      <c r="G38" s="1">
        <v>4.344</v>
      </c>
      <c r="H38" s="1">
        <v>22.513</v>
      </c>
      <c r="I38" s="10">
        <f t="shared" si="0"/>
        <v>0.2381395644033553</v>
      </c>
    </row>
    <row r="39" spans="2:9" ht="0.75" customHeight="1">
      <c r="B39" s="8">
        <v>1999</v>
      </c>
      <c r="C39" s="1">
        <v>72.404</v>
      </c>
      <c r="E39" s="1">
        <v>96.991</v>
      </c>
      <c r="F39" s="1">
        <v>27.569</v>
      </c>
      <c r="G39" s="1">
        <v>3.826</v>
      </c>
      <c r="H39" s="1">
        <v>23.743</v>
      </c>
      <c r="I39" s="10">
        <f t="shared" si="0"/>
        <v>0.2447959088987638</v>
      </c>
    </row>
    <row r="40" spans="2:9" ht="0.75" customHeight="1">
      <c r="B40" s="8">
        <v>2000</v>
      </c>
      <c r="C40" s="9">
        <f>60.142/(10/12)</f>
        <v>72.1704</v>
      </c>
      <c r="D40" s="9"/>
      <c r="E40" s="9">
        <f>81.139/(10/12)</f>
        <v>97.36679999999998</v>
      </c>
      <c r="F40" s="9">
        <f>23.605/(10/12)</f>
        <v>28.326</v>
      </c>
      <c r="G40" s="9">
        <f>3.38/(10/12)</f>
        <v>4.056</v>
      </c>
      <c r="H40" s="9">
        <f>20.225/(10/12)</f>
        <v>24.27</v>
      </c>
      <c r="I40" s="10">
        <f t="shared" si="0"/>
        <v>0.24926360936171266</v>
      </c>
    </row>
    <row r="41" ht="0.75" customHeight="1">
      <c r="B41" s="8">
        <v>2001</v>
      </c>
    </row>
    <row r="42" ht="0.75" customHeight="1">
      <c r="B42" s="8">
        <v>2002</v>
      </c>
    </row>
    <row r="43" ht="0.75" customHeight="1">
      <c r="B43" s="8">
        <v>2003</v>
      </c>
    </row>
    <row r="44" ht="0.75" customHeight="1">
      <c r="B44" s="8">
        <v>2004</v>
      </c>
    </row>
    <row r="45" ht="0.75" customHeight="1">
      <c r="B45" s="8">
        <v>2005</v>
      </c>
    </row>
    <row r="46" ht="12.75" thickBot="1"/>
    <row r="47" spans="5:9" ht="15" thickBot="1">
      <c r="E47" s="13"/>
      <c r="F47" s="18"/>
      <c r="G47" s="26" t="s">
        <v>26</v>
      </c>
      <c r="H47" s="18"/>
      <c r="I47" s="14"/>
    </row>
    <row r="48" ht="0.75" customHeight="1">
      <c r="G48" s="2" t="s">
        <v>8</v>
      </c>
    </row>
    <row r="49" spans="2:14" ht="0.75" customHeight="1">
      <c r="B49" s="2" t="s">
        <v>15</v>
      </c>
      <c r="C49" s="2" t="s">
        <v>16</v>
      </c>
      <c r="D49" s="2"/>
      <c r="E49" s="2" t="s">
        <v>17</v>
      </c>
      <c r="F49" s="2" t="s">
        <v>18</v>
      </c>
      <c r="G49" s="2" t="s">
        <v>20</v>
      </c>
      <c r="H49" s="2" t="s">
        <v>21</v>
      </c>
      <c r="I49" s="2" t="s">
        <v>22</v>
      </c>
      <c r="J49" s="2" t="s">
        <v>23</v>
      </c>
      <c r="K49" s="2" t="s">
        <v>24</v>
      </c>
      <c r="L49" s="2" t="s">
        <v>25</v>
      </c>
      <c r="M49" s="2" t="s">
        <v>19</v>
      </c>
      <c r="N49" s="1" t="s">
        <v>27</v>
      </c>
    </row>
    <row r="50" spans="1:14" ht="0.75" customHeight="1">
      <c r="A50" s="8">
        <v>1973</v>
      </c>
      <c r="B50" s="15">
        <v>13.992</v>
      </c>
      <c r="C50" s="15">
        <v>22.187</v>
      </c>
      <c r="D50" s="15"/>
      <c r="E50" s="15">
        <v>19.493</v>
      </c>
      <c r="F50" s="15">
        <v>2.569</v>
      </c>
      <c r="G50" s="15">
        <v>0.91</v>
      </c>
      <c r="H50" s="15"/>
      <c r="I50" s="15">
        <v>2.861</v>
      </c>
      <c r="J50" s="15">
        <v>1.529</v>
      </c>
      <c r="K50" s="15">
        <v>0.043</v>
      </c>
      <c r="L50" s="15"/>
      <c r="M50" s="15">
        <f>SUM(B50:L50)</f>
        <v>63.583999999999996</v>
      </c>
      <c r="N50" s="17">
        <f>SUM(H50:L50)/M50</f>
        <v>0.06971879718168095</v>
      </c>
    </row>
    <row r="51" spans="1:14" ht="0.75" customHeight="1">
      <c r="A51" s="8">
        <v>1974</v>
      </c>
      <c r="B51" s="15">
        <v>14.474</v>
      </c>
      <c r="C51" s="15">
        <v>21.21</v>
      </c>
      <c r="D51" s="15"/>
      <c r="E51" s="15">
        <v>18.575</v>
      </c>
      <c r="F51" s="15">
        <v>2.471</v>
      </c>
      <c r="G51" s="15">
        <v>1.272</v>
      </c>
      <c r="H51" s="15"/>
      <c r="I51" s="15">
        <v>3.177</v>
      </c>
      <c r="J51" s="15">
        <v>1.54</v>
      </c>
      <c r="K51" s="15">
        <v>0.053</v>
      </c>
      <c r="L51" s="15"/>
      <c r="M51" s="15">
        <f aca="true" t="shared" si="1" ref="M51:M77">SUM(B51:L51)</f>
        <v>62.772</v>
      </c>
      <c r="N51" s="17">
        <f aca="true" t="shared" si="2" ref="N51:N77">SUM(H51:L51)/M51</f>
        <v>0.07598929458994456</v>
      </c>
    </row>
    <row r="52" spans="1:14" ht="0.75" customHeight="1">
      <c r="A52" s="8">
        <v>1975</v>
      </c>
      <c r="B52" s="15">
        <v>14.989</v>
      </c>
      <c r="C52" s="15">
        <v>19.84</v>
      </c>
      <c r="D52" s="15"/>
      <c r="E52" s="15">
        <v>17.729</v>
      </c>
      <c r="F52" s="15">
        <v>2.374</v>
      </c>
      <c r="G52" s="15">
        <v>1.9</v>
      </c>
      <c r="H52" s="15"/>
      <c r="I52" s="15">
        <v>3.155</v>
      </c>
      <c r="J52" s="15">
        <v>1.499</v>
      </c>
      <c r="K52" s="15">
        <v>0.07</v>
      </c>
      <c r="L52" s="15"/>
      <c r="M52" s="15">
        <f t="shared" si="1"/>
        <v>61.556000000000004</v>
      </c>
      <c r="N52" s="17">
        <f t="shared" si="2"/>
        <v>0.07674312820846059</v>
      </c>
    </row>
    <row r="53" spans="1:14" ht="0.75" customHeight="1">
      <c r="A53" s="8">
        <v>1976</v>
      </c>
      <c r="B53" s="15">
        <v>15.654</v>
      </c>
      <c r="C53" s="15">
        <v>19.48</v>
      </c>
      <c r="D53" s="15"/>
      <c r="E53" s="15">
        <v>17.262</v>
      </c>
      <c r="F53" s="15">
        <v>2.327</v>
      </c>
      <c r="G53" s="15">
        <v>2.111</v>
      </c>
      <c r="H53" s="15"/>
      <c r="I53" s="15">
        <v>2.976</v>
      </c>
      <c r="J53" s="15">
        <v>1.713</v>
      </c>
      <c r="K53" s="15">
        <v>0.078</v>
      </c>
      <c r="L53" s="15"/>
      <c r="M53" s="15">
        <f t="shared" si="1"/>
        <v>61.601</v>
      </c>
      <c r="N53" s="17">
        <f t="shared" si="2"/>
        <v>0.07738510738462039</v>
      </c>
    </row>
    <row r="54" spans="1:14" ht="0.75" customHeight="1">
      <c r="A54" s="8">
        <v>1977</v>
      </c>
      <c r="B54" s="15">
        <v>15.755</v>
      </c>
      <c r="C54" s="15">
        <v>19.565</v>
      </c>
      <c r="D54" s="15"/>
      <c r="E54" s="15">
        <v>17.454</v>
      </c>
      <c r="F54" s="15">
        <v>2.327</v>
      </c>
      <c r="G54" s="15">
        <v>2.702</v>
      </c>
      <c r="H54" s="15"/>
      <c r="I54" s="15">
        <v>2.333</v>
      </c>
      <c r="J54" s="15">
        <v>1.838</v>
      </c>
      <c r="K54" s="15">
        <v>0.077</v>
      </c>
      <c r="L54" s="15"/>
      <c r="M54" s="15">
        <f t="shared" si="1"/>
        <v>62.050999999999995</v>
      </c>
      <c r="N54" s="17">
        <f t="shared" si="2"/>
        <v>0.0684598153132101</v>
      </c>
    </row>
    <row r="55" spans="1:14" ht="0.75" customHeight="1">
      <c r="A55" s="8">
        <v>1978</v>
      </c>
      <c r="B55" s="15">
        <v>17.5</v>
      </c>
      <c r="C55" s="15">
        <v>19.885</v>
      </c>
      <c r="D55" s="15"/>
      <c r="E55" s="15">
        <v>18.434</v>
      </c>
      <c r="F55" s="15">
        <v>2.245</v>
      </c>
      <c r="G55" s="15">
        <v>3.024</v>
      </c>
      <c r="H55" s="15"/>
      <c r="I55" s="15">
        <v>2.937</v>
      </c>
      <c r="J55" s="15">
        <v>2.038</v>
      </c>
      <c r="K55" s="15">
        <v>0.064</v>
      </c>
      <c r="L55" s="15"/>
      <c r="M55" s="15">
        <f t="shared" si="1"/>
        <v>66.127</v>
      </c>
      <c r="N55" s="17">
        <f t="shared" si="2"/>
        <v>0.07620185400819635</v>
      </c>
    </row>
    <row r="56" spans="1:14" ht="0.75" customHeight="1">
      <c r="A56" s="8">
        <v>1979</v>
      </c>
      <c r="B56" s="15">
        <v>17.74</v>
      </c>
      <c r="C56" s="15">
        <v>19.876</v>
      </c>
      <c r="D56" s="15"/>
      <c r="E56" s="15">
        <v>18.1014</v>
      </c>
      <c r="F56" s="15">
        <v>2.286</v>
      </c>
      <c r="G56" s="15">
        <v>2.776</v>
      </c>
      <c r="H56" s="15"/>
      <c r="I56" s="15">
        <v>2.931</v>
      </c>
      <c r="J56" s="15">
        <v>2.152</v>
      </c>
      <c r="K56" s="15">
        <v>0.084</v>
      </c>
      <c r="L56" s="15"/>
      <c r="M56" s="15">
        <f t="shared" si="1"/>
        <v>65.9464</v>
      </c>
      <c r="N56" s="17">
        <f t="shared" si="2"/>
        <v>0.07835150971091674</v>
      </c>
    </row>
    <row r="57" spans="1:14" ht="0.75" customHeight="1">
      <c r="A57" s="8">
        <v>1980</v>
      </c>
      <c r="B57" s="15">
        <v>18.298</v>
      </c>
      <c r="C57" s="15">
        <v>19.908</v>
      </c>
      <c r="D57" s="15"/>
      <c r="E57" s="15">
        <v>18.249</v>
      </c>
      <c r="F57" s="15">
        <v>2.254</v>
      </c>
      <c r="G57" s="15">
        <v>2.739</v>
      </c>
      <c r="H57" s="15"/>
      <c r="I57" s="15">
        <v>2.9</v>
      </c>
      <c r="J57" s="15">
        <v>2.485</v>
      </c>
      <c r="K57" s="15">
        <v>0.11</v>
      </c>
      <c r="L57" s="15"/>
      <c r="M57" s="15">
        <f t="shared" si="1"/>
        <v>66.943</v>
      </c>
      <c r="N57" s="17">
        <f t="shared" si="2"/>
        <v>0.08208475867529093</v>
      </c>
    </row>
    <row r="58" spans="1:14" ht="0.75" customHeight="1">
      <c r="A58" s="8">
        <v>1981</v>
      </c>
      <c r="B58" s="15">
        <v>18.377</v>
      </c>
      <c r="C58" s="15">
        <v>19.699</v>
      </c>
      <c r="D58" s="15"/>
      <c r="E58" s="15">
        <v>18.146</v>
      </c>
      <c r="F58" s="15">
        <v>2.307</v>
      </c>
      <c r="G58" s="15">
        <v>3.008</v>
      </c>
      <c r="H58" s="15"/>
      <c r="I58" s="15">
        <v>2.758</v>
      </c>
      <c r="J58" s="15">
        <v>2.59</v>
      </c>
      <c r="K58" s="15">
        <v>0.123</v>
      </c>
      <c r="L58" s="15"/>
      <c r="M58" s="15">
        <f t="shared" si="1"/>
        <v>67.00800000000001</v>
      </c>
      <c r="N58" s="17">
        <f t="shared" si="2"/>
        <v>0.0816469675262655</v>
      </c>
    </row>
    <row r="59" spans="1:14" ht="0.75" customHeight="1">
      <c r="A59" s="8">
        <v>1982</v>
      </c>
      <c r="B59" s="15">
        <v>18.639</v>
      </c>
      <c r="C59" s="15">
        <v>18.519</v>
      </c>
      <c r="D59" s="15"/>
      <c r="E59" s="15">
        <v>18.309</v>
      </c>
      <c r="F59" s="15">
        <v>2.191</v>
      </c>
      <c r="G59" s="15">
        <v>3.131</v>
      </c>
      <c r="H59" s="15"/>
      <c r="I59" s="15">
        <v>3.266</v>
      </c>
      <c r="J59" s="15">
        <v>2.615</v>
      </c>
      <c r="K59" s="15">
        <v>0.105</v>
      </c>
      <c r="L59" s="15"/>
      <c r="M59" s="15">
        <f t="shared" si="1"/>
        <v>66.775</v>
      </c>
      <c r="N59" s="17">
        <f t="shared" si="2"/>
        <v>0.08964432796705354</v>
      </c>
    </row>
    <row r="60" spans="1:14" ht="0.75" customHeight="1">
      <c r="A60" s="8">
        <v>1983</v>
      </c>
      <c r="B60" s="15">
        <v>18.647</v>
      </c>
      <c r="C60" s="15">
        <v>17.593</v>
      </c>
      <c r="D60" s="15"/>
      <c r="E60" s="15">
        <v>18.392</v>
      </c>
      <c r="F60" s="15">
        <v>2.184</v>
      </c>
      <c r="G60" s="15">
        <v>3.203</v>
      </c>
      <c r="H60" s="15"/>
      <c r="I60" s="15">
        <v>3.527</v>
      </c>
      <c r="J60" s="15">
        <v>2.831</v>
      </c>
      <c r="K60" s="15">
        <v>0.129</v>
      </c>
      <c r="L60" s="15"/>
      <c r="M60" s="15">
        <f t="shared" si="1"/>
        <v>66.506</v>
      </c>
      <c r="N60" s="17">
        <f t="shared" si="2"/>
        <v>0.0975400715724897</v>
      </c>
    </row>
    <row r="61" spans="1:14" ht="0.75" customHeight="1">
      <c r="A61" s="8">
        <v>1984</v>
      </c>
      <c r="B61" s="15">
        <v>19.719</v>
      </c>
      <c r="C61" s="15">
        <v>18.008</v>
      </c>
      <c r="D61" s="15"/>
      <c r="E61" s="15">
        <v>18.848</v>
      </c>
      <c r="F61" s="15">
        <v>2.274</v>
      </c>
      <c r="G61" s="15">
        <v>3.553</v>
      </c>
      <c r="H61" s="15"/>
      <c r="I61" s="15">
        <v>3.386</v>
      </c>
      <c r="J61" s="15">
        <v>2.88</v>
      </c>
      <c r="K61" s="15">
        <v>0.165</v>
      </c>
      <c r="L61" s="15"/>
      <c r="M61" s="15">
        <f t="shared" si="1"/>
        <v>68.833</v>
      </c>
      <c r="N61" s="17">
        <f t="shared" si="2"/>
        <v>0.09342902386936498</v>
      </c>
    </row>
    <row r="62" spans="1:14" ht="0.75" customHeight="1">
      <c r="A62" s="8">
        <v>1985</v>
      </c>
      <c r="B62" s="15">
        <v>19.325</v>
      </c>
      <c r="C62" s="15">
        <v>16.98</v>
      </c>
      <c r="D62" s="15"/>
      <c r="E62" s="15">
        <v>18.992</v>
      </c>
      <c r="F62" s="15">
        <v>2.241</v>
      </c>
      <c r="G62" s="15">
        <v>4.149</v>
      </c>
      <c r="H62" s="15"/>
      <c r="I62" s="15">
        <v>2.97</v>
      </c>
      <c r="J62" s="15">
        <v>2.864</v>
      </c>
      <c r="K62" s="15">
        <v>0.198</v>
      </c>
      <c r="L62" s="15"/>
      <c r="M62" s="15">
        <f t="shared" si="1"/>
        <v>67.719</v>
      </c>
      <c r="N62" s="17">
        <f t="shared" si="2"/>
        <v>0.08907396742420887</v>
      </c>
    </row>
    <row r="63" spans="1:14" ht="0.75" customHeight="1">
      <c r="A63" s="8">
        <v>1986</v>
      </c>
      <c r="B63" s="15">
        <v>19.509</v>
      </c>
      <c r="C63" s="15">
        <v>16.541</v>
      </c>
      <c r="D63" s="15"/>
      <c r="E63" s="15">
        <v>18.376</v>
      </c>
      <c r="F63" s="15">
        <v>2.149</v>
      </c>
      <c r="G63" s="15">
        <v>4.471</v>
      </c>
      <c r="H63" s="15"/>
      <c r="I63" s="15">
        <v>3.071</v>
      </c>
      <c r="J63" s="15">
        <v>2.841</v>
      </c>
      <c r="K63" s="15">
        <v>0.219</v>
      </c>
      <c r="L63" s="15"/>
      <c r="M63" s="15">
        <f t="shared" si="1"/>
        <v>67.17699999999999</v>
      </c>
      <c r="N63" s="17">
        <f t="shared" si="2"/>
        <v>0.09126635604447954</v>
      </c>
    </row>
    <row r="64" spans="1:14" ht="0.75" customHeight="1">
      <c r="A64" s="8">
        <v>1987</v>
      </c>
      <c r="B64" s="15">
        <v>20.141</v>
      </c>
      <c r="C64" s="15">
        <v>17.136</v>
      </c>
      <c r="D64" s="15"/>
      <c r="E64" s="15">
        <v>17.675</v>
      </c>
      <c r="F64" s="15">
        <v>2.215</v>
      </c>
      <c r="G64" s="15">
        <v>4.906</v>
      </c>
      <c r="H64" s="15"/>
      <c r="I64" s="15">
        <v>2.635</v>
      </c>
      <c r="J64" s="15">
        <v>2.823</v>
      </c>
      <c r="K64" s="15">
        <v>0.229</v>
      </c>
      <c r="L64" s="15"/>
      <c r="M64" s="15">
        <f t="shared" si="1"/>
        <v>67.75999999999999</v>
      </c>
      <c r="N64" s="17">
        <f t="shared" si="2"/>
        <v>0.08392857142857145</v>
      </c>
    </row>
    <row r="65" spans="1:14" ht="0.75" customHeight="1">
      <c r="A65" s="8">
        <v>1988</v>
      </c>
      <c r="B65" s="15">
        <v>20.738</v>
      </c>
      <c r="C65" s="15">
        <v>17.59</v>
      </c>
      <c r="D65" s="15"/>
      <c r="E65" s="15">
        <v>17.279</v>
      </c>
      <c r="F65" s="15">
        <v>2.26</v>
      </c>
      <c r="G65" s="15">
        <v>5.661</v>
      </c>
      <c r="H65" s="15"/>
      <c r="I65" s="15">
        <v>2.334</v>
      </c>
      <c r="J65" s="15">
        <v>2.937</v>
      </c>
      <c r="K65" s="15">
        <v>0.217</v>
      </c>
      <c r="L65" s="15"/>
      <c r="M65" s="15">
        <f t="shared" si="1"/>
        <v>69.01599999999999</v>
      </c>
      <c r="N65" s="17">
        <f t="shared" si="2"/>
        <v>0.0795177929755419</v>
      </c>
    </row>
    <row r="66" spans="1:14" ht="0.75" customHeight="1">
      <c r="A66" s="8">
        <v>1989</v>
      </c>
      <c r="B66" s="15">
        <v>21.346</v>
      </c>
      <c r="C66" s="15">
        <v>17.847</v>
      </c>
      <c r="D66" s="15"/>
      <c r="E66" s="15">
        <v>16.117</v>
      </c>
      <c r="F66" s="15">
        <v>2.158</v>
      </c>
      <c r="G66" s="15">
        <v>5.677</v>
      </c>
      <c r="H66" s="15"/>
      <c r="I66" s="15">
        <v>2.855</v>
      </c>
      <c r="J66" s="15">
        <v>3.05</v>
      </c>
      <c r="K66" s="15">
        <v>0.323</v>
      </c>
      <c r="L66" s="15">
        <v>0.083</v>
      </c>
      <c r="M66" s="15">
        <f t="shared" si="1"/>
        <v>69.45599999999999</v>
      </c>
      <c r="N66" s="17">
        <f t="shared" si="2"/>
        <v>0.09086328035014975</v>
      </c>
    </row>
    <row r="67" spans="1:14" ht="0.75" customHeight="1">
      <c r="A67" s="8">
        <v>1990</v>
      </c>
      <c r="B67" s="15">
        <v>21.456</v>
      </c>
      <c r="C67" s="15">
        <v>18.362</v>
      </c>
      <c r="D67" s="15"/>
      <c r="E67" s="15">
        <v>15.571</v>
      </c>
      <c r="F67" s="15">
        <v>2.175</v>
      </c>
      <c r="G67" s="15">
        <v>6.162</v>
      </c>
      <c r="H67" s="15">
        <v>-0.036</v>
      </c>
      <c r="I67" s="15">
        <v>3.048</v>
      </c>
      <c r="J67" s="15">
        <v>2.646</v>
      </c>
      <c r="K67" s="15">
        <v>0.343</v>
      </c>
      <c r="L67" s="15">
        <v>0.094</v>
      </c>
      <c r="M67" s="15">
        <f t="shared" si="1"/>
        <v>69.82099999999998</v>
      </c>
      <c r="N67" s="17">
        <f t="shared" si="2"/>
        <v>0.08729465347101877</v>
      </c>
    </row>
    <row r="68" spans="1:14" ht="0.75" customHeight="1">
      <c r="A68" s="8">
        <v>1991</v>
      </c>
      <c r="B68" s="15">
        <v>21.594</v>
      </c>
      <c r="C68" s="15">
        <v>18.429</v>
      </c>
      <c r="D68" s="15"/>
      <c r="E68" s="15">
        <v>15.701</v>
      </c>
      <c r="F68" s="15">
        <v>2.306</v>
      </c>
      <c r="G68" s="15">
        <v>6.58</v>
      </c>
      <c r="H68" s="15">
        <v>-0.047</v>
      </c>
      <c r="I68" s="15">
        <v>3.021</v>
      </c>
      <c r="J68" s="15">
        <v>2.687</v>
      </c>
      <c r="K68" s="15">
        <v>0.348</v>
      </c>
      <c r="L68" s="15">
        <v>0.097</v>
      </c>
      <c r="M68" s="15">
        <f t="shared" si="1"/>
        <v>70.716</v>
      </c>
      <c r="N68" s="17">
        <f t="shared" si="2"/>
        <v>0.08634538152610442</v>
      </c>
    </row>
    <row r="69" spans="1:14" ht="0.75" customHeight="1">
      <c r="A69" s="8">
        <v>1992</v>
      </c>
      <c r="B69" s="15">
        <v>21.629</v>
      </c>
      <c r="C69" s="15">
        <v>18.375</v>
      </c>
      <c r="D69" s="15"/>
      <c r="E69" s="15">
        <v>15.223</v>
      </c>
      <c r="F69" s="15">
        <v>2.363</v>
      </c>
      <c r="G69" s="15">
        <v>6.608</v>
      </c>
      <c r="H69" s="15">
        <v>-0.043</v>
      </c>
      <c r="I69" s="15">
        <v>2.617</v>
      </c>
      <c r="J69" s="15">
        <v>2.831</v>
      </c>
      <c r="K69" s="15">
        <v>0.355</v>
      </c>
      <c r="L69" s="15">
        <v>0.097</v>
      </c>
      <c r="M69" s="15">
        <f t="shared" si="1"/>
        <v>70.055</v>
      </c>
      <c r="N69" s="17">
        <f t="shared" si="2"/>
        <v>0.08360573834844051</v>
      </c>
    </row>
    <row r="70" spans="1:14" ht="0.75" customHeight="1">
      <c r="A70" s="8">
        <v>1993</v>
      </c>
      <c r="B70" s="15">
        <v>20.949</v>
      </c>
      <c r="C70" s="15">
        <v>18.784</v>
      </c>
      <c r="D70" s="15"/>
      <c r="E70" s="15">
        <v>14.494</v>
      </c>
      <c r="F70" s="15">
        <v>2.408</v>
      </c>
      <c r="G70" s="15">
        <v>6.52</v>
      </c>
      <c r="H70" s="15">
        <v>-0.042</v>
      </c>
      <c r="I70" s="15">
        <v>2.892</v>
      </c>
      <c r="J70" s="15">
        <v>2.791</v>
      </c>
      <c r="K70" s="15">
        <v>0.369</v>
      </c>
      <c r="L70" s="15">
        <v>0.102</v>
      </c>
      <c r="M70" s="15">
        <f t="shared" si="1"/>
        <v>69.267</v>
      </c>
      <c r="N70" s="17">
        <f t="shared" si="2"/>
        <v>0.08823826641835218</v>
      </c>
    </row>
    <row r="71" spans="1:14" ht="0.75" customHeight="1">
      <c r="A71" s="8">
        <v>1994</v>
      </c>
      <c r="B71" s="15">
        <v>21.811</v>
      </c>
      <c r="C71" s="15">
        <v>19.148</v>
      </c>
      <c r="D71" s="15"/>
      <c r="E71" s="15">
        <v>14.103</v>
      </c>
      <c r="F71" s="15">
        <v>2.391</v>
      </c>
      <c r="G71" s="15">
        <v>6.838</v>
      </c>
      <c r="H71" s="15">
        <v>-0.035</v>
      </c>
      <c r="I71" s="15">
        <v>2.684</v>
      </c>
      <c r="J71" s="15">
        <v>2.925</v>
      </c>
      <c r="K71" s="15">
        <v>0.64</v>
      </c>
      <c r="L71" s="15">
        <v>0.107</v>
      </c>
      <c r="M71" s="15">
        <f t="shared" si="1"/>
        <v>70.612</v>
      </c>
      <c r="N71" s="17">
        <f t="shared" si="2"/>
        <v>0.08951736248796238</v>
      </c>
    </row>
    <row r="72" spans="1:14" ht="0.75" customHeight="1">
      <c r="A72" s="8">
        <v>1995</v>
      </c>
      <c r="B72" s="15">
        <v>22.029</v>
      </c>
      <c r="C72" s="15">
        <v>19.101</v>
      </c>
      <c r="D72" s="15"/>
      <c r="E72" s="15">
        <v>13.887</v>
      </c>
      <c r="F72" s="15">
        <v>2.442</v>
      </c>
      <c r="G72" s="15">
        <v>7.177</v>
      </c>
      <c r="H72" s="15">
        <v>-0.028</v>
      </c>
      <c r="I72" s="15">
        <v>3.207</v>
      </c>
      <c r="J72" s="15">
        <v>3.056</v>
      </c>
      <c r="K72" s="15">
        <v>0.314</v>
      </c>
      <c r="L72" s="15">
        <v>0.106</v>
      </c>
      <c r="M72" s="15">
        <f t="shared" si="1"/>
        <v>71.29099999999997</v>
      </c>
      <c r="N72" s="17">
        <f t="shared" si="2"/>
        <v>0.09334979169881194</v>
      </c>
    </row>
    <row r="73" spans="1:14" ht="0.75" customHeight="1">
      <c r="A73" s="8">
        <v>1996</v>
      </c>
      <c r="B73" s="15">
        <v>22.684</v>
      </c>
      <c r="C73" s="15">
        <v>19.363</v>
      </c>
      <c r="D73" s="15"/>
      <c r="E73" s="15">
        <v>13.723</v>
      </c>
      <c r="F73" s="15">
        <v>2.53</v>
      </c>
      <c r="G73" s="15">
        <v>7.168</v>
      </c>
      <c r="H73" s="15">
        <v>-0.032</v>
      </c>
      <c r="I73" s="15">
        <v>3.593</v>
      </c>
      <c r="J73" s="15">
        <v>3.114</v>
      </c>
      <c r="K73" s="15">
        <v>0.332</v>
      </c>
      <c r="L73" s="15">
        <v>0.11</v>
      </c>
      <c r="M73" s="15">
        <f t="shared" si="1"/>
        <v>72.58500000000001</v>
      </c>
      <c r="N73" s="17">
        <f t="shared" si="2"/>
        <v>0.09805056141075978</v>
      </c>
    </row>
    <row r="74" spans="1:14" ht="0.75" customHeight="1">
      <c r="A74" s="8">
        <v>1997</v>
      </c>
      <c r="B74" s="15">
        <v>23.111</v>
      </c>
      <c r="C74" s="15">
        <v>19.394</v>
      </c>
      <c r="D74" s="15"/>
      <c r="E74" s="15">
        <v>13.658</v>
      </c>
      <c r="F74" s="15">
        <v>2.495</v>
      </c>
      <c r="G74" s="15">
        <v>6.678</v>
      </c>
      <c r="H74" s="15">
        <v>-0.042</v>
      </c>
      <c r="I74" s="15">
        <v>3.718</v>
      </c>
      <c r="J74" s="15">
        <v>2.991</v>
      </c>
      <c r="K74" s="15">
        <v>0.322</v>
      </c>
      <c r="L74" s="15">
        <v>0.107</v>
      </c>
      <c r="M74" s="15">
        <f t="shared" si="1"/>
        <v>72.432</v>
      </c>
      <c r="N74" s="17">
        <f t="shared" si="2"/>
        <v>0.09796774906118842</v>
      </c>
    </row>
    <row r="75" spans="1:14" ht="0.75" customHeight="1">
      <c r="A75" s="8">
        <v>1998</v>
      </c>
      <c r="B75" s="15">
        <v>23.219</v>
      </c>
      <c r="C75" s="15">
        <v>19.088</v>
      </c>
      <c r="D75" s="15"/>
      <c r="E75" s="15">
        <v>13.235</v>
      </c>
      <c r="F75" s="15">
        <v>2.42</v>
      </c>
      <c r="G75" s="15">
        <v>7.157</v>
      </c>
      <c r="H75" s="15">
        <v>-0.046</v>
      </c>
      <c r="I75" s="15">
        <v>3.345</v>
      </c>
      <c r="J75" s="15">
        <v>3.003</v>
      </c>
      <c r="K75" s="15">
        <v>0.327</v>
      </c>
      <c r="L75" s="15">
        <v>0.104</v>
      </c>
      <c r="M75" s="15">
        <f t="shared" si="1"/>
        <v>71.85199999999999</v>
      </c>
      <c r="N75" s="17">
        <f t="shared" si="2"/>
        <v>0.09370650782163338</v>
      </c>
    </row>
    <row r="76" spans="1:14" ht="0.75" customHeight="1">
      <c r="A76" s="8">
        <v>1999</v>
      </c>
      <c r="B76" s="15">
        <v>23.351</v>
      </c>
      <c r="C76" s="15">
        <v>19.126</v>
      </c>
      <c r="D76" s="15"/>
      <c r="E76" s="15">
        <v>12.451</v>
      </c>
      <c r="F76" s="15">
        <v>2.528</v>
      </c>
      <c r="G76" s="15">
        <v>7.736</v>
      </c>
      <c r="H76" s="15">
        <v>-0.064</v>
      </c>
      <c r="I76" s="15">
        <v>3.306</v>
      </c>
      <c r="J76" s="15">
        <v>3.486</v>
      </c>
      <c r="K76" s="15">
        <v>0.374</v>
      </c>
      <c r="L76" s="15">
        <v>0.11</v>
      </c>
      <c r="M76" s="15">
        <f t="shared" si="1"/>
        <v>72.40400000000001</v>
      </c>
      <c r="N76" s="17">
        <f t="shared" si="2"/>
        <v>0.09960775647754266</v>
      </c>
    </row>
    <row r="77" spans="1:14" ht="0.75" customHeight="1">
      <c r="A77" s="8">
        <v>2000</v>
      </c>
      <c r="B77" s="16">
        <f>19.199/(10/12)</f>
        <v>23.038800000000002</v>
      </c>
      <c r="C77" s="16">
        <f>16.03/(10/12)</f>
        <v>19.236</v>
      </c>
      <c r="D77" s="16"/>
      <c r="E77" s="16">
        <f>10.312/(10/12)</f>
        <v>12.374399999999998</v>
      </c>
      <c r="F77" s="16">
        <f>2.22/(10/12)</f>
        <v>2.664</v>
      </c>
      <c r="G77" s="15">
        <f>6.655/(10/12)</f>
        <v>7.986</v>
      </c>
      <c r="H77" s="16">
        <f>-0.048/(10/12)</f>
        <v>-0.0576</v>
      </c>
      <c r="I77" s="16">
        <f>2.397/(10/12)</f>
        <v>2.8764</v>
      </c>
      <c r="J77" s="16">
        <f>3.019/(10/12)</f>
        <v>3.6228</v>
      </c>
      <c r="K77" s="16">
        <f>0.259/(10/12)</f>
        <v>0.3108</v>
      </c>
      <c r="L77" s="16">
        <f>0.098/(10/12)</f>
        <v>0.1176</v>
      </c>
      <c r="M77" s="15">
        <f t="shared" si="1"/>
        <v>72.1692</v>
      </c>
      <c r="N77" s="17">
        <f t="shared" si="2"/>
        <v>0.09519296320313929</v>
      </c>
    </row>
    <row r="78" spans="1:13" ht="0.75" customHeight="1">
      <c r="A78" s="8">
        <v>2001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M78" s="15"/>
    </row>
    <row r="79" spans="1:13" ht="0.75" customHeight="1">
      <c r="A79" s="8">
        <v>2002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0.75" customHeight="1">
      <c r="A80" s="8">
        <v>2003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0.75" customHeight="1">
      <c r="A81" s="8">
        <v>2004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0.75" customHeight="1">
      <c r="A82" s="8">
        <v>2005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0.75" customHeight="1">
      <c r="A83" s="8">
        <v>2006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0.75" customHeight="1">
      <c r="A84" s="8">
        <v>2007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0.75" customHeight="1">
      <c r="A85" s="8">
        <v>2008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0.75" customHeight="1">
      <c r="A86" s="8">
        <v>2009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0.75" customHeight="1">
      <c r="A87" s="8">
        <v>2010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ht="12.75" thickBot="1">
      <c r="B88" s="1"/>
    </row>
    <row r="89" spans="5:9" ht="15" thickBot="1">
      <c r="E89" s="25"/>
      <c r="F89" s="37"/>
      <c r="G89" s="26" t="s">
        <v>28</v>
      </c>
      <c r="H89" s="37"/>
      <c r="I89" s="47"/>
    </row>
    <row r="90" ht="0.75" customHeight="1">
      <c r="H90" s="12" t="s">
        <v>8</v>
      </c>
    </row>
    <row r="91" spans="1:14" ht="0.75" customHeight="1">
      <c r="A91" s="1"/>
      <c r="C91" s="19" t="s">
        <v>15</v>
      </c>
      <c r="D91" s="19"/>
      <c r="E91" s="2" t="s">
        <v>16</v>
      </c>
      <c r="F91" s="2" t="s">
        <v>29</v>
      </c>
      <c r="G91" s="2" t="s">
        <v>20</v>
      </c>
      <c r="H91" s="2" t="s">
        <v>30</v>
      </c>
      <c r="I91" s="2" t="s">
        <v>31</v>
      </c>
      <c r="J91" s="2" t="s">
        <v>23</v>
      </c>
      <c r="K91" s="2" t="s">
        <v>24</v>
      </c>
      <c r="L91" s="2" t="s">
        <v>32</v>
      </c>
      <c r="M91" s="1" t="s">
        <v>19</v>
      </c>
      <c r="N91" s="1" t="s">
        <v>27</v>
      </c>
    </row>
    <row r="92" spans="1:14" ht="0.75" customHeight="1">
      <c r="A92" s="1"/>
      <c r="B92" s="8">
        <v>1973</v>
      </c>
      <c r="C92" s="15">
        <v>12.971</v>
      </c>
      <c r="D92" s="15"/>
      <c r="E92" s="15">
        <v>22.512</v>
      </c>
      <c r="F92" s="15">
        <v>34.84</v>
      </c>
      <c r="G92" s="15">
        <v>0.91</v>
      </c>
      <c r="H92" s="15"/>
      <c r="I92" s="15">
        <v>3.01</v>
      </c>
      <c r="J92" s="15">
        <v>1.529</v>
      </c>
      <c r="K92" s="15">
        <v>0.043</v>
      </c>
      <c r="L92" s="15"/>
      <c r="M92" s="15">
        <f>SUM(C92:L92)</f>
        <v>75.81500000000001</v>
      </c>
      <c r="N92" s="17">
        <f>SUM(I92:L92)/M92</f>
        <v>0.06043658906548835</v>
      </c>
    </row>
    <row r="93" spans="1:14" ht="0.75" customHeight="1">
      <c r="A93" s="1"/>
      <c r="B93" s="8">
        <v>1974</v>
      </c>
      <c r="C93" s="15">
        <v>12.663</v>
      </c>
      <c r="D93" s="15"/>
      <c r="E93" s="15">
        <v>21.732</v>
      </c>
      <c r="F93" s="15">
        <v>33.455</v>
      </c>
      <c r="G93" s="15">
        <v>1.272</v>
      </c>
      <c r="H93" s="15"/>
      <c r="I93" s="15">
        <v>3.309</v>
      </c>
      <c r="J93" s="15">
        <v>1.54</v>
      </c>
      <c r="K93" s="15">
        <v>0.053</v>
      </c>
      <c r="L93" s="15"/>
      <c r="M93" s="15">
        <f aca="true" t="shared" si="3" ref="M93:M119">SUM(C93:L93)</f>
        <v>74.024</v>
      </c>
      <c r="N93" s="17">
        <f aca="true" t="shared" si="4" ref="N93:N119">SUM(I93:L93)/M93</f>
        <v>0.0662217659137577</v>
      </c>
    </row>
    <row r="94" spans="1:14" ht="0.75" customHeight="1">
      <c r="A94" s="1"/>
      <c r="B94" s="8">
        <v>1975</v>
      </c>
      <c r="C94" s="15">
        <v>12.663</v>
      </c>
      <c r="D94" s="15"/>
      <c r="E94" s="15">
        <v>19.948</v>
      </c>
      <c r="F94" s="15">
        <v>32.731</v>
      </c>
      <c r="G94" s="15">
        <v>1.9</v>
      </c>
      <c r="H94" s="15"/>
      <c r="I94" s="15">
        <v>3.219</v>
      </c>
      <c r="J94" s="15">
        <v>1.499</v>
      </c>
      <c r="K94" s="15">
        <v>0.07</v>
      </c>
      <c r="L94" s="15"/>
      <c r="M94" s="15">
        <f t="shared" si="3"/>
        <v>72.03</v>
      </c>
      <c r="N94" s="17">
        <f t="shared" si="4"/>
        <v>0.06647230320699708</v>
      </c>
    </row>
    <row r="95" spans="1:14" ht="0.75" customHeight="1">
      <c r="A95" s="1"/>
      <c r="B95" s="8">
        <v>1976</v>
      </c>
      <c r="C95" s="15">
        <v>13.584</v>
      </c>
      <c r="D95" s="15"/>
      <c r="E95" s="15">
        <v>20.345</v>
      </c>
      <c r="F95" s="15">
        <v>35.175</v>
      </c>
      <c r="G95" s="15">
        <v>2.111</v>
      </c>
      <c r="H95" s="15"/>
      <c r="I95" s="15">
        <v>3.066</v>
      </c>
      <c r="J95" s="15">
        <v>1.713</v>
      </c>
      <c r="K95" s="15">
        <v>0.078</v>
      </c>
      <c r="L95" s="15"/>
      <c r="M95" s="15">
        <f t="shared" si="3"/>
        <v>76.072</v>
      </c>
      <c r="N95" s="17">
        <f t="shared" si="4"/>
        <v>0.06384740771900305</v>
      </c>
    </row>
    <row r="96" spans="1:14" ht="0.75" customHeight="1">
      <c r="A96" s="1"/>
      <c r="B96" s="8">
        <v>1977</v>
      </c>
      <c r="C96" s="15">
        <v>13.922</v>
      </c>
      <c r="D96" s="15"/>
      <c r="E96" s="15">
        <v>19.931</v>
      </c>
      <c r="F96" s="15">
        <v>37.122</v>
      </c>
      <c r="G96" s="15">
        <v>2.702</v>
      </c>
      <c r="H96" s="15"/>
      <c r="I96" s="15">
        <v>2.515</v>
      </c>
      <c r="J96" s="15">
        <v>1.838</v>
      </c>
      <c r="K96" s="15">
        <v>0.077</v>
      </c>
      <c r="L96" s="15"/>
      <c r="M96" s="15">
        <f t="shared" si="3"/>
        <v>78.10699999999999</v>
      </c>
      <c r="N96" s="17">
        <f t="shared" si="4"/>
        <v>0.0567170676123779</v>
      </c>
    </row>
    <row r="97" spans="1:14" ht="0.75" customHeight="1">
      <c r="A97" s="1"/>
      <c r="B97" s="8">
        <v>1978</v>
      </c>
      <c r="C97" s="15">
        <v>13.766</v>
      </c>
      <c r="D97" s="15"/>
      <c r="E97" s="15">
        <v>20</v>
      </c>
      <c r="F97" s="15">
        <v>37.965</v>
      </c>
      <c r="G97" s="15">
        <v>3.024</v>
      </c>
      <c r="H97" s="15"/>
      <c r="I97" s="15">
        <v>3.141</v>
      </c>
      <c r="J97" s="15">
        <v>2.038</v>
      </c>
      <c r="K97" s="15">
        <v>0.064</v>
      </c>
      <c r="L97" s="15"/>
      <c r="M97" s="15">
        <f t="shared" si="3"/>
        <v>79.99799999999999</v>
      </c>
      <c r="N97" s="17">
        <f t="shared" si="4"/>
        <v>0.06553913847846198</v>
      </c>
    </row>
    <row r="98" spans="1:14" ht="0.75" customHeight="1">
      <c r="A98" s="1"/>
      <c r="B98" s="8">
        <v>1979</v>
      </c>
      <c r="C98" s="15">
        <v>15.04</v>
      </c>
      <c r="D98" s="15"/>
      <c r="E98" s="15">
        <v>20.666</v>
      </c>
      <c r="F98" s="15">
        <v>37.123</v>
      </c>
      <c r="G98" s="15">
        <v>2.776</v>
      </c>
      <c r="H98" s="15"/>
      <c r="I98" s="15">
        <v>3.141</v>
      </c>
      <c r="J98" s="15">
        <v>2.152</v>
      </c>
      <c r="K98" s="15">
        <v>0.084</v>
      </c>
      <c r="L98" s="15"/>
      <c r="M98" s="15">
        <f t="shared" si="3"/>
        <v>80.98200000000001</v>
      </c>
      <c r="N98" s="17">
        <f t="shared" si="4"/>
        <v>0.0663974710429478</v>
      </c>
    </row>
    <row r="99" spans="1:14" ht="0.75" customHeight="1">
      <c r="A99" s="1"/>
      <c r="B99" s="8">
        <v>1980</v>
      </c>
      <c r="C99" s="15">
        <v>15.423</v>
      </c>
      <c r="D99" s="15"/>
      <c r="E99" s="15">
        <v>20.394</v>
      </c>
      <c r="F99" s="15">
        <v>34.202</v>
      </c>
      <c r="G99" s="15">
        <v>2.739</v>
      </c>
      <c r="H99" s="15"/>
      <c r="I99" s="15">
        <v>3.118</v>
      </c>
      <c r="J99" s="15">
        <v>2.485</v>
      </c>
      <c r="K99" s="15">
        <v>0.11</v>
      </c>
      <c r="L99" s="15"/>
      <c r="M99" s="15">
        <f t="shared" si="3"/>
        <v>78.471</v>
      </c>
      <c r="N99" s="17">
        <f t="shared" si="4"/>
        <v>0.07280396579628143</v>
      </c>
    </row>
    <row r="100" spans="1:14" ht="0.75" customHeight="1">
      <c r="A100" s="1"/>
      <c r="B100" s="8">
        <v>1981</v>
      </c>
      <c r="C100" s="15">
        <v>15.908</v>
      </c>
      <c r="D100" s="15"/>
      <c r="E100" s="15">
        <v>19.928</v>
      </c>
      <c r="F100" s="15">
        <v>31.931</v>
      </c>
      <c r="G100" s="15">
        <v>3.008</v>
      </c>
      <c r="H100" s="15"/>
      <c r="I100" s="15">
        <v>3.105</v>
      </c>
      <c r="J100" s="15">
        <v>2.59</v>
      </c>
      <c r="K100" s="15">
        <v>1.123</v>
      </c>
      <c r="L100" s="15"/>
      <c r="M100" s="15">
        <f t="shared" si="3"/>
        <v>77.593</v>
      </c>
      <c r="N100" s="17">
        <f t="shared" si="4"/>
        <v>0.08786875104713054</v>
      </c>
    </row>
    <row r="101" spans="1:14" ht="0.75" customHeight="1">
      <c r="A101" s="1"/>
      <c r="B101" s="8">
        <v>1982</v>
      </c>
      <c r="C101" s="15">
        <v>15.322</v>
      </c>
      <c r="D101" s="15"/>
      <c r="E101" s="15">
        <v>18.505</v>
      </c>
      <c r="F101" s="15">
        <v>30.231</v>
      </c>
      <c r="G101" s="15">
        <v>3.131</v>
      </c>
      <c r="H101" s="15"/>
      <c r="I101" s="15">
        <v>3.572</v>
      </c>
      <c r="J101" s="15">
        <v>2.615</v>
      </c>
      <c r="K101" s="15">
        <v>0.105</v>
      </c>
      <c r="L101" s="15"/>
      <c r="M101" s="15">
        <f t="shared" si="3"/>
        <v>73.481</v>
      </c>
      <c r="N101" s="17">
        <f t="shared" si="4"/>
        <v>0.08562757719682641</v>
      </c>
    </row>
    <row r="102" spans="1:14" ht="0.75" customHeight="1">
      <c r="A102" s="1"/>
      <c r="B102" s="8">
        <v>1983</v>
      </c>
      <c r="C102" s="15">
        <v>15.894</v>
      </c>
      <c r="D102" s="15"/>
      <c r="E102" s="15">
        <v>17.357</v>
      </c>
      <c r="F102" s="15">
        <v>30.054</v>
      </c>
      <c r="G102" s="15">
        <v>3.203</v>
      </c>
      <c r="H102" s="15"/>
      <c r="I102" s="15">
        <v>3.899</v>
      </c>
      <c r="J102" s="15">
        <v>2.831</v>
      </c>
      <c r="K102" s="15">
        <v>0.129</v>
      </c>
      <c r="L102" s="15"/>
      <c r="M102" s="15">
        <f t="shared" si="3"/>
        <v>73.367</v>
      </c>
      <c r="N102" s="17">
        <f t="shared" si="4"/>
        <v>0.09348889827851758</v>
      </c>
    </row>
    <row r="103" spans="1:14" ht="0.75" customHeight="1">
      <c r="A103" s="1"/>
      <c r="B103" s="8">
        <v>1984</v>
      </c>
      <c r="C103" s="15">
        <v>17.071</v>
      </c>
      <c r="D103" s="15"/>
      <c r="E103" s="15">
        <v>18.507</v>
      </c>
      <c r="F103" s="15">
        <v>31.051</v>
      </c>
      <c r="G103" s="15">
        <v>3.553</v>
      </c>
      <c r="H103" s="15"/>
      <c r="I103" s="15">
        <v>3.8</v>
      </c>
      <c r="J103" s="15">
        <v>2.88</v>
      </c>
      <c r="K103" s="15">
        <v>0.165</v>
      </c>
      <c r="L103" s="15"/>
      <c r="M103" s="15">
        <f t="shared" si="3"/>
        <v>77.027</v>
      </c>
      <c r="N103" s="17">
        <f t="shared" si="4"/>
        <v>0.08886494346138367</v>
      </c>
    </row>
    <row r="104" spans="1:14" ht="0.75" customHeight="1">
      <c r="A104" s="1"/>
      <c r="B104" s="8">
        <v>1985</v>
      </c>
      <c r="C104" s="15">
        <v>17.478</v>
      </c>
      <c r="D104" s="15"/>
      <c r="E104" s="15">
        <v>17.834</v>
      </c>
      <c r="F104" s="15">
        <v>30.922</v>
      </c>
      <c r="G104" s="15">
        <v>4.149</v>
      </c>
      <c r="H104" s="15"/>
      <c r="I104" s="15">
        <v>3.398</v>
      </c>
      <c r="J104" s="15">
        <v>2.864</v>
      </c>
      <c r="K104" s="15">
        <v>0.198</v>
      </c>
      <c r="L104" s="15"/>
      <c r="M104" s="15">
        <f t="shared" si="3"/>
        <v>76.84299999999999</v>
      </c>
      <c r="N104" s="17">
        <f t="shared" si="4"/>
        <v>0.08406751428236797</v>
      </c>
    </row>
    <row r="105" spans="1:14" ht="0.75" customHeight="1">
      <c r="A105" s="1"/>
      <c r="B105" s="8">
        <v>1986</v>
      </c>
      <c r="C105" s="15">
        <v>17.26</v>
      </c>
      <c r="D105" s="15"/>
      <c r="E105" s="15">
        <v>16.708</v>
      </c>
      <c r="F105" s="15">
        <v>32.196</v>
      </c>
      <c r="G105" s="15">
        <v>4.471</v>
      </c>
      <c r="H105" s="15"/>
      <c r="I105" s="15">
        <v>3.446</v>
      </c>
      <c r="J105" s="15">
        <v>2.841</v>
      </c>
      <c r="K105" s="15">
        <v>0.219</v>
      </c>
      <c r="L105" s="15"/>
      <c r="M105" s="15">
        <f t="shared" si="3"/>
        <v>77.14099999999999</v>
      </c>
      <c r="N105" s="17">
        <f t="shared" si="4"/>
        <v>0.08433906742199351</v>
      </c>
    </row>
    <row r="106" spans="1:14" ht="0.75" customHeight="1">
      <c r="A106" s="1"/>
      <c r="B106" s="8">
        <v>1987</v>
      </c>
      <c r="C106" s="15">
        <v>18.008</v>
      </c>
      <c r="D106" s="15"/>
      <c r="E106" s="15">
        <v>17.744</v>
      </c>
      <c r="F106" s="15">
        <v>32.865</v>
      </c>
      <c r="G106" s="15">
        <v>4.906</v>
      </c>
      <c r="H106" s="15"/>
      <c r="I106" s="15">
        <v>3.117</v>
      </c>
      <c r="J106" s="15">
        <v>2.823</v>
      </c>
      <c r="K106" s="15">
        <v>0.229</v>
      </c>
      <c r="L106" s="15"/>
      <c r="M106" s="15">
        <f t="shared" si="3"/>
        <v>79.692</v>
      </c>
      <c r="N106" s="17">
        <f t="shared" si="4"/>
        <v>0.07741053054258897</v>
      </c>
    </row>
    <row r="107" spans="1:14" ht="0.75" customHeight="1">
      <c r="A107" s="1"/>
      <c r="B107" s="8">
        <v>1988</v>
      </c>
      <c r="C107" s="15">
        <v>18.846</v>
      </c>
      <c r="D107" s="15"/>
      <c r="E107" s="15">
        <v>18.552</v>
      </c>
      <c r="F107" s="15">
        <v>34.222</v>
      </c>
      <c r="G107" s="15">
        <v>5.5661</v>
      </c>
      <c r="H107" s="15"/>
      <c r="I107" s="15">
        <v>2.662</v>
      </c>
      <c r="J107" s="15">
        <v>2.937</v>
      </c>
      <c r="K107" s="15">
        <v>0.217</v>
      </c>
      <c r="L107" s="15"/>
      <c r="M107" s="15">
        <f t="shared" si="3"/>
        <v>83.00210000000001</v>
      </c>
      <c r="N107" s="17">
        <f t="shared" si="4"/>
        <v>0.07007051628814209</v>
      </c>
    </row>
    <row r="108" spans="1:14" ht="0.75" customHeight="1">
      <c r="A108" s="1"/>
      <c r="B108" s="8">
        <v>1989</v>
      </c>
      <c r="C108" s="15">
        <v>18.944</v>
      </c>
      <c r="D108" s="15"/>
      <c r="E108" s="15">
        <v>19.384</v>
      </c>
      <c r="F108" s="15">
        <v>34.211</v>
      </c>
      <c r="G108" s="15">
        <v>5.677</v>
      </c>
      <c r="H108" s="15"/>
      <c r="I108" s="15">
        <v>2.998</v>
      </c>
      <c r="J108" s="15">
        <v>3.05</v>
      </c>
      <c r="K108" s="15">
        <v>0.334</v>
      </c>
      <c r="L108" s="15">
        <v>0.083</v>
      </c>
      <c r="M108" s="15">
        <f t="shared" si="3"/>
        <v>84.68100000000001</v>
      </c>
      <c r="N108" s="17">
        <f t="shared" si="4"/>
        <v>0.07634534311120557</v>
      </c>
    </row>
    <row r="109" spans="1:14" ht="0.75" customHeight="1">
      <c r="A109" s="1"/>
      <c r="B109" s="8">
        <v>1990</v>
      </c>
      <c r="C109" s="15">
        <v>19.136</v>
      </c>
      <c r="D109" s="15"/>
      <c r="E109" s="15">
        <v>19.296</v>
      </c>
      <c r="F109" s="15">
        <v>33.553</v>
      </c>
      <c r="G109" s="15">
        <v>6.162</v>
      </c>
      <c r="H109" s="15">
        <v>-0.036</v>
      </c>
      <c r="I109" s="15">
        <v>3.146</v>
      </c>
      <c r="J109" s="15">
        <v>2.646</v>
      </c>
      <c r="K109" s="15">
        <v>0.355</v>
      </c>
      <c r="L109" s="15">
        <v>0.094</v>
      </c>
      <c r="M109" s="15">
        <f t="shared" si="3"/>
        <v>84.352</v>
      </c>
      <c r="N109" s="17">
        <f t="shared" si="4"/>
        <v>0.07398757587253414</v>
      </c>
    </row>
    <row r="110" spans="1:14" ht="0.75" customHeight="1">
      <c r="A110" s="1"/>
      <c r="B110" s="8">
        <v>1991</v>
      </c>
      <c r="C110" s="15">
        <v>18.985</v>
      </c>
      <c r="D110" s="15"/>
      <c r="E110" s="15">
        <v>19.606</v>
      </c>
      <c r="F110" s="15">
        <v>32.845</v>
      </c>
      <c r="G110" s="15">
        <v>6.58</v>
      </c>
      <c r="H110" s="15">
        <v>-0.047</v>
      </c>
      <c r="I110" s="15">
        <v>3.159</v>
      </c>
      <c r="J110" s="15">
        <v>2.687</v>
      </c>
      <c r="K110" s="15">
        <v>0.363</v>
      </c>
      <c r="L110" s="15">
        <v>0.97</v>
      </c>
      <c r="M110" s="15">
        <f t="shared" si="3"/>
        <v>85.14800000000001</v>
      </c>
      <c r="N110" s="17">
        <f t="shared" si="4"/>
        <v>0.08431202142152486</v>
      </c>
    </row>
    <row r="111" spans="1:14" ht="0.75" customHeight="1">
      <c r="A111" s="1"/>
      <c r="B111" s="8">
        <v>1992</v>
      </c>
      <c r="C111" s="15">
        <v>19.144</v>
      </c>
      <c r="D111" s="15"/>
      <c r="E111" s="15">
        <v>20.131</v>
      </c>
      <c r="F111" s="15">
        <v>33.527</v>
      </c>
      <c r="G111" s="15">
        <v>6.608</v>
      </c>
      <c r="H111" s="15">
        <v>-0.043</v>
      </c>
      <c r="I111" s="15">
        <v>2.818</v>
      </c>
      <c r="J111" s="15">
        <v>2.831</v>
      </c>
      <c r="K111" s="15">
        <v>0.374</v>
      </c>
      <c r="L111" s="15">
        <v>0.097</v>
      </c>
      <c r="M111" s="15">
        <f t="shared" si="3"/>
        <v>85.48699999999998</v>
      </c>
      <c r="N111" s="17">
        <f t="shared" si="4"/>
        <v>0.07158983237217356</v>
      </c>
    </row>
    <row r="112" spans="1:14" ht="0.75" customHeight="1">
      <c r="A112" s="1"/>
      <c r="B112" s="8">
        <v>1993</v>
      </c>
      <c r="C112" s="15">
        <v>19.755</v>
      </c>
      <c r="D112" s="15"/>
      <c r="E112" s="15">
        <v>20.827</v>
      </c>
      <c r="F112" s="15">
        <v>33.841</v>
      </c>
      <c r="G112" s="15">
        <v>6.52</v>
      </c>
      <c r="H112" s="15">
        <v>-0.042</v>
      </c>
      <c r="I112" s="15">
        <v>3.119</v>
      </c>
      <c r="J112" s="15">
        <v>2.791</v>
      </c>
      <c r="K112" s="15">
        <v>0.387</v>
      </c>
      <c r="L112" s="15">
        <v>0.102</v>
      </c>
      <c r="M112" s="15">
        <f t="shared" si="3"/>
        <v>87.3</v>
      </c>
      <c r="N112" s="17">
        <f t="shared" si="4"/>
        <v>0.07329896907216496</v>
      </c>
    </row>
    <row r="113" spans="1:14" ht="0.75" customHeight="1">
      <c r="A113" s="1"/>
      <c r="B113" s="8">
        <v>1994</v>
      </c>
      <c r="C113" s="15">
        <v>19.924</v>
      </c>
      <c r="D113" s="15"/>
      <c r="E113" s="15">
        <v>21.288</v>
      </c>
      <c r="F113" s="15">
        <v>34.67</v>
      </c>
      <c r="G113" s="15">
        <v>6.838</v>
      </c>
      <c r="H113" s="15">
        <v>-0.035</v>
      </c>
      <c r="I113" s="15">
        <v>2.993</v>
      </c>
      <c r="J113" s="15">
        <v>2.925</v>
      </c>
      <c r="K113" s="15">
        <v>0.388</v>
      </c>
      <c r="L113" s="15">
        <v>0.107</v>
      </c>
      <c r="M113" s="15">
        <f t="shared" si="3"/>
        <v>89.098</v>
      </c>
      <c r="N113" s="17">
        <f t="shared" si="4"/>
        <v>0.07197692428561808</v>
      </c>
    </row>
    <row r="114" spans="1:14" ht="0.75" customHeight="1">
      <c r="A114" s="1"/>
      <c r="B114" s="8">
        <v>1995</v>
      </c>
      <c r="C114" s="15">
        <v>20.016</v>
      </c>
      <c r="D114" s="15"/>
      <c r="E114" s="15">
        <v>22.163</v>
      </c>
      <c r="F114" s="15">
        <v>34.553</v>
      </c>
      <c r="G114" s="15">
        <v>7.177</v>
      </c>
      <c r="H114" s="15">
        <v>-0.028</v>
      </c>
      <c r="I114" s="15">
        <v>3.481</v>
      </c>
      <c r="J114" s="15">
        <v>3.056</v>
      </c>
      <c r="K114" s="15">
        <v>0.333</v>
      </c>
      <c r="L114" s="15">
        <v>0.106</v>
      </c>
      <c r="M114" s="15">
        <f t="shared" si="3"/>
        <v>90.85699999999997</v>
      </c>
      <c r="N114" s="17">
        <f t="shared" si="4"/>
        <v>0.07677999493709899</v>
      </c>
    </row>
    <row r="115" spans="1:14" ht="0.75" customHeight="1">
      <c r="A115" s="1"/>
      <c r="B115" s="8">
        <v>1996</v>
      </c>
      <c r="C115" s="15">
        <v>20.94</v>
      </c>
      <c r="D115" s="15"/>
      <c r="E115" s="15">
        <v>22.559</v>
      </c>
      <c r="F115" s="15">
        <v>35.757</v>
      </c>
      <c r="G115" s="15">
        <v>7.168</v>
      </c>
      <c r="H115" s="15">
        <v>-0.032</v>
      </c>
      <c r="I115" s="15">
        <v>3.892</v>
      </c>
      <c r="J115" s="15">
        <v>3.144</v>
      </c>
      <c r="K115" s="15">
        <v>0.346</v>
      </c>
      <c r="L115" s="15">
        <v>0.11</v>
      </c>
      <c r="M115" s="15">
        <f t="shared" si="3"/>
        <v>93.88400000000001</v>
      </c>
      <c r="N115" s="17">
        <f t="shared" si="4"/>
        <v>0.07980060500191724</v>
      </c>
    </row>
    <row r="116" spans="1:14" ht="0.75" customHeight="1">
      <c r="A116" s="1"/>
      <c r="B116" s="8">
        <v>1997</v>
      </c>
      <c r="C116" s="15">
        <v>21.444</v>
      </c>
      <c r="D116" s="15"/>
      <c r="E116" s="15">
        <v>22.53</v>
      </c>
      <c r="F116" s="15">
        <v>36.2866</v>
      </c>
      <c r="G116" s="15">
        <v>6.678</v>
      </c>
      <c r="H116" s="15">
        <v>-0.042</v>
      </c>
      <c r="I116" s="15">
        <v>3.961</v>
      </c>
      <c r="J116" s="15">
        <v>2.991</v>
      </c>
      <c r="K116" s="15">
        <v>0.322</v>
      </c>
      <c r="L116" s="15">
        <v>0.107</v>
      </c>
      <c r="M116" s="15">
        <f t="shared" si="3"/>
        <v>94.2776</v>
      </c>
      <c r="N116" s="17">
        <f t="shared" si="4"/>
        <v>0.07829007102429421</v>
      </c>
    </row>
    <row r="117" spans="1:14" ht="0.75" customHeight="1">
      <c r="A117" s="1"/>
      <c r="B117" s="8">
        <v>1998</v>
      </c>
      <c r="C117" s="15">
        <v>21.569</v>
      </c>
      <c r="D117" s="15"/>
      <c r="E117" s="15">
        <v>21.921</v>
      </c>
      <c r="F117" s="15">
        <v>36.934</v>
      </c>
      <c r="G117" s="15">
        <v>7.157</v>
      </c>
      <c r="H117" s="15">
        <v>-0.046</v>
      </c>
      <c r="I117" s="15">
        <v>3.569</v>
      </c>
      <c r="J117" s="15">
        <v>3.003</v>
      </c>
      <c r="K117" s="15">
        <v>0.328</v>
      </c>
      <c r="L117" s="15">
        <v>0.104</v>
      </c>
      <c r="M117" s="15">
        <f t="shared" si="3"/>
        <v>94.53899999999999</v>
      </c>
      <c r="N117" s="17">
        <f t="shared" si="4"/>
        <v>0.07408582701319034</v>
      </c>
    </row>
    <row r="118" spans="1:14" ht="0.75" customHeight="1">
      <c r="A118" s="1"/>
      <c r="B118" s="8">
        <v>1999</v>
      </c>
      <c r="C118" s="15">
        <v>21.56</v>
      </c>
      <c r="D118" s="15"/>
      <c r="E118" s="15">
        <v>22.289</v>
      </c>
      <c r="F118" s="15">
        <v>37.96</v>
      </c>
      <c r="G118" s="15">
        <v>7.736</v>
      </c>
      <c r="H118" s="15">
        <v>-0.064</v>
      </c>
      <c r="I118" s="15">
        <v>3.513</v>
      </c>
      <c r="J118" s="15">
        <v>3.486</v>
      </c>
      <c r="K118" s="15">
        <v>0.374</v>
      </c>
      <c r="L118" s="15">
        <v>0.11</v>
      </c>
      <c r="M118" s="15">
        <f t="shared" si="3"/>
        <v>96.96400000000001</v>
      </c>
      <c r="N118" s="17">
        <f t="shared" si="4"/>
        <v>0.07717297141207045</v>
      </c>
    </row>
    <row r="119" spans="1:14" ht="0.75" customHeight="1">
      <c r="A119" s="1"/>
      <c r="B119" s="8">
        <v>2000</v>
      </c>
      <c r="C119" s="16">
        <f>18.32/(10/12)</f>
        <v>21.983999999999998</v>
      </c>
      <c r="D119" s="16"/>
      <c r="E119" s="16">
        <f>18.628/(10/12)</f>
        <v>22.3536</v>
      </c>
      <c r="F119" s="16">
        <f>31.522/(10/12)</f>
        <v>37.8264</v>
      </c>
      <c r="G119" s="16">
        <f>6.655/(10/12)</f>
        <v>7.986</v>
      </c>
      <c r="H119" s="16">
        <f>-0.048/(12/12)</f>
        <v>-0.048</v>
      </c>
      <c r="I119" s="16">
        <f>2.625/(10/12)</f>
        <v>3.15</v>
      </c>
      <c r="J119" s="16">
        <f>3.019/(10/12)</f>
        <v>3.6228</v>
      </c>
      <c r="K119" s="16">
        <f>0.26/(10/12)</f>
        <v>0.312</v>
      </c>
      <c r="L119" s="16">
        <f>0.098/(10/12)</f>
        <v>0.1176</v>
      </c>
      <c r="M119" s="15">
        <f t="shared" si="3"/>
        <v>97.30439999999999</v>
      </c>
      <c r="N119" s="17">
        <f t="shared" si="4"/>
        <v>0.07401926326044868</v>
      </c>
    </row>
    <row r="120" spans="1:13" ht="0.75" customHeight="1">
      <c r="A120" s="1"/>
      <c r="B120" s="8">
        <v>2001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0.75" customHeight="1">
      <c r="A121" s="1"/>
      <c r="B121" s="8">
        <v>2002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0.75" customHeight="1">
      <c r="A122" s="1"/>
      <c r="B122" s="8">
        <v>2003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0.75" customHeight="1">
      <c r="A123" s="1"/>
      <c r="B123" s="8">
        <v>2004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0.75" customHeight="1">
      <c r="A124" s="1"/>
      <c r="B124" s="8">
        <v>2005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4" ht="0.75" customHeight="1">
      <c r="A125" s="1"/>
      <c r="B125" s="8">
        <v>2006</v>
      </c>
      <c r="C125" s="8"/>
      <c r="D125" s="8"/>
    </row>
    <row r="126" spans="1:4" ht="0.75" customHeight="1">
      <c r="A126" s="1"/>
      <c r="B126" s="8">
        <v>2007</v>
      </c>
      <c r="C126" s="8"/>
      <c r="D126" s="8"/>
    </row>
    <row r="127" spans="1:4" ht="0.75" customHeight="1">
      <c r="A127" s="1"/>
      <c r="B127" s="8">
        <v>2008</v>
      </c>
      <c r="C127" s="8"/>
      <c r="D127" s="8"/>
    </row>
    <row r="128" spans="1:4" ht="0.75" customHeight="1">
      <c r="A128" s="1"/>
      <c r="B128" s="8">
        <v>2009</v>
      </c>
      <c r="C128" s="8"/>
      <c r="D128" s="8"/>
    </row>
    <row r="129" spans="1:4" ht="0.75" customHeight="1">
      <c r="A129" s="1"/>
      <c r="B129" s="8">
        <v>2010</v>
      </c>
      <c r="C129" s="8"/>
      <c r="D129" s="8"/>
    </row>
    <row r="130" ht="12.75" thickBot="1"/>
    <row r="131" spans="5:9" ht="15" thickBot="1">
      <c r="E131" s="25"/>
      <c r="F131" s="37"/>
      <c r="G131" s="26" t="s">
        <v>35</v>
      </c>
      <c r="H131" s="37"/>
      <c r="I131" s="47"/>
    </row>
    <row r="132" ht="0.75" customHeight="1">
      <c r="G132" s="2" t="s">
        <v>38</v>
      </c>
    </row>
    <row r="133" spans="5:10" ht="0.75" customHeight="1">
      <c r="E133" s="1" t="s">
        <v>37</v>
      </c>
      <c r="H133" s="2" t="s">
        <v>36</v>
      </c>
      <c r="I133" s="1" t="s">
        <v>34</v>
      </c>
      <c r="J133" s="20"/>
    </row>
    <row r="134" spans="5:11" ht="0.75" customHeight="1">
      <c r="E134" s="2" t="s">
        <v>12</v>
      </c>
      <c r="F134" s="2" t="s">
        <v>11</v>
      </c>
      <c r="G134" s="2" t="s">
        <v>33</v>
      </c>
      <c r="H134" s="2" t="s">
        <v>33</v>
      </c>
      <c r="I134" s="2" t="s">
        <v>12</v>
      </c>
      <c r="J134" s="2" t="s">
        <v>11</v>
      </c>
      <c r="K134" s="2" t="s">
        <v>33</v>
      </c>
    </row>
    <row r="135" spans="3:12" ht="0.75" customHeight="1">
      <c r="C135" s="8">
        <v>1973</v>
      </c>
      <c r="D135" s="8"/>
      <c r="E135" s="21">
        <v>3444</v>
      </c>
      <c r="F135" s="21">
        <v>25454</v>
      </c>
      <c r="G135" s="21">
        <f>E135-F135</f>
        <v>-22010</v>
      </c>
      <c r="H135" s="21">
        <v>18126</v>
      </c>
      <c r="I135" s="21">
        <v>99437</v>
      </c>
      <c r="J135" s="21">
        <f>103321</f>
        <v>103321</v>
      </c>
      <c r="K135" s="21">
        <f>I135-J135</f>
        <v>-3884</v>
      </c>
      <c r="L135" s="21"/>
    </row>
    <row r="136" spans="3:12" ht="0.75" customHeight="1">
      <c r="C136" s="8">
        <v>1974</v>
      </c>
      <c r="D136" s="8"/>
      <c r="E136" s="21">
        <v>4470</v>
      </c>
      <c r="F136" s="21">
        <v>26476</v>
      </c>
      <c r="G136" s="21">
        <f aca="true" t="shared" si="5" ref="G136:G161">E136-F136</f>
        <v>-22006</v>
      </c>
      <c r="H136" s="21">
        <v>31557</v>
      </c>
      <c r="I136" s="21">
        <v>108856</v>
      </c>
      <c r="J136" s="21">
        <v>99305</v>
      </c>
      <c r="K136" s="21">
        <f aca="true" t="shared" si="6" ref="K136:K161">I136-J136</f>
        <v>9551</v>
      </c>
      <c r="L136" s="21"/>
    </row>
    <row r="137" spans="3:12" ht="0.75" customHeight="1">
      <c r="C137" s="8">
        <v>1975</v>
      </c>
      <c r="D137" s="8"/>
      <c r="E137" s="21">
        <v>4226</v>
      </c>
      <c r="F137" s="21">
        <v>33996</v>
      </c>
      <c r="G137" s="21">
        <f t="shared" si="5"/>
        <v>-29770</v>
      </c>
      <c r="H137" s="21">
        <v>21950</v>
      </c>
      <c r="I137" s="21">
        <v>116794</v>
      </c>
      <c r="J137" s="21">
        <v>124614</v>
      </c>
      <c r="K137" s="21">
        <f t="shared" si="6"/>
        <v>-7820</v>
      </c>
      <c r="L137" s="21"/>
    </row>
    <row r="138" spans="3:12" ht="0.75" customHeight="1">
      <c r="C138" s="8">
        <v>1976</v>
      </c>
      <c r="D138" s="8"/>
      <c r="E138" s="21">
        <v>4184</v>
      </c>
      <c r="F138" s="21">
        <v>44537</v>
      </c>
      <c r="G138" s="21">
        <f t="shared" si="5"/>
        <v>-40353</v>
      </c>
      <c r="H138" s="21">
        <v>12001</v>
      </c>
      <c r="I138" s="21">
        <v>123182</v>
      </c>
      <c r="J138" s="21">
        <v>151534</v>
      </c>
      <c r="K138" s="21">
        <f t="shared" si="6"/>
        <v>-28352</v>
      </c>
      <c r="L138" s="21"/>
    </row>
    <row r="139" spans="3:12" ht="0.75" customHeight="1">
      <c r="C139" s="8">
        <v>1977</v>
      </c>
      <c r="D139" s="8"/>
      <c r="E139" s="21">
        <v>3881</v>
      </c>
      <c r="F139" s="21">
        <v>42096</v>
      </c>
      <c r="G139" s="21">
        <f t="shared" si="5"/>
        <v>-38215</v>
      </c>
      <c r="H139" s="21">
        <v>8010</v>
      </c>
      <c r="I139" s="21">
        <v>145847</v>
      </c>
      <c r="J139" s="21">
        <v>176052</v>
      </c>
      <c r="K139" s="21">
        <f t="shared" si="6"/>
        <v>-30205</v>
      </c>
      <c r="L139" s="21"/>
    </row>
    <row r="140" spans="3:12" ht="0.75" customHeight="1">
      <c r="C140" s="8">
        <v>1978</v>
      </c>
      <c r="D140" s="8"/>
      <c r="E140" s="21">
        <v>5621</v>
      </c>
      <c r="F140" s="21">
        <v>59998</v>
      </c>
      <c r="G140" s="21">
        <f t="shared" si="5"/>
        <v>-54377</v>
      </c>
      <c r="H140" s="21">
        <v>30455</v>
      </c>
      <c r="I140" s="21">
        <v>186363</v>
      </c>
      <c r="J140" s="21">
        <v>210285</v>
      </c>
      <c r="K140" s="21">
        <f t="shared" si="6"/>
        <v>-23922</v>
      </c>
      <c r="L140" s="21"/>
    </row>
    <row r="141" spans="3:12" ht="0.75" customHeight="1">
      <c r="C141" s="8">
        <v>1979</v>
      </c>
      <c r="D141" s="8"/>
      <c r="E141" s="21">
        <v>7982</v>
      </c>
      <c r="F141" s="21">
        <v>82924</v>
      </c>
      <c r="G141" s="21">
        <f t="shared" si="5"/>
        <v>-74942</v>
      </c>
      <c r="H141" s="21">
        <v>55246</v>
      </c>
      <c r="I141" s="21">
        <v>225566</v>
      </c>
      <c r="J141" s="21">
        <v>245262</v>
      </c>
      <c r="K141" s="21">
        <f t="shared" si="6"/>
        <v>-19696</v>
      </c>
      <c r="L141" s="21"/>
    </row>
    <row r="142" spans="3:12" ht="0.75" customHeight="1">
      <c r="C142" s="8">
        <v>1980</v>
      </c>
      <c r="D142" s="8"/>
      <c r="E142" s="21">
        <v>10279</v>
      </c>
      <c r="F142" s="21">
        <v>81360</v>
      </c>
      <c r="G142" s="21">
        <f t="shared" si="5"/>
        <v>-71081</v>
      </c>
      <c r="H142" s="21">
        <v>48814</v>
      </c>
      <c r="I142" s="21">
        <v>238715</v>
      </c>
      <c r="J142" s="21">
        <v>260982</v>
      </c>
      <c r="K142" s="21">
        <f t="shared" si="6"/>
        <v>-22267</v>
      </c>
      <c r="L142" s="21"/>
    </row>
    <row r="143" spans="3:12" ht="0.75" customHeight="1">
      <c r="C143" s="8">
        <v>1981</v>
      </c>
      <c r="D143" s="8"/>
      <c r="E143" s="21">
        <v>12729</v>
      </c>
      <c r="F143" s="21">
        <v>65409</v>
      </c>
      <c r="G143" s="21">
        <f t="shared" si="5"/>
        <v>-52680</v>
      </c>
      <c r="H143" s="21">
        <v>25170</v>
      </c>
      <c r="I143" s="21">
        <v>218442</v>
      </c>
      <c r="J143" s="21">
        <v>243952</v>
      </c>
      <c r="K143" s="21">
        <f t="shared" si="6"/>
        <v>-25510</v>
      </c>
      <c r="L143" s="21"/>
    </row>
    <row r="144" spans="3:12" ht="0.75" customHeight="1">
      <c r="C144" s="8">
        <v>1982</v>
      </c>
      <c r="D144" s="8"/>
      <c r="E144" s="21">
        <v>9500</v>
      </c>
      <c r="F144" s="21">
        <v>57952</v>
      </c>
      <c r="G144" s="21">
        <f t="shared" si="5"/>
        <v>-48452</v>
      </c>
      <c r="H144" s="21">
        <v>-3957</v>
      </c>
      <c r="I144" s="21">
        <v>205639</v>
      </c>
      <c r="J144" s="21">
        <v>258048</v>
      </c>
      <c r="K144" s="21">
        <f t="shared" si="6"/>
        <v>-52409</v>
      </c>
      <c r="L144" s="21"/>
    </row>
    <row r="145" spans="3:12" ht="0.75" customHeight="1">
      <c r="C145" s="8">
        <v>1983</v>
      </c>
      <c r="D145" s="8"/>
      <c r="E145" s="21">
        <v>9311</v>
      </c>
      <c r="F145" s="21">
        <v>60980</v>
      </c>
      <c r="G145" s="21">
        <f t="shared" si="5"/>
        <v>-51669</v>
      </c>
      <c r="H145" s="21">
        <v>-55033</v>
      </c>
      <c r="I145" s="21">
        <v>223976</v>
      </c>
      <c r="J145" s="21">
        <v>330678</v>
      </c>
      <c r="K145" s="21">
        <f t="shared" si="6"/>
        <v>-106702</v>
      </c>
      <c r="L145" s="21"/>
    </row>
    <row r="146" spans="3:12" ht="0.75" customHeight="1">
      <c r="C146" s="8">
        <v>1984</v>
      </c>
      <c r="D146" s="8"/>
      <c r="E146" s="21">
        <v>9971</v>
      </c>
      <c r="F146" s="21">
        <v>53917</v>
      </c>
      <c r="G146" s="21">
        <f t="shared" si="5"/>
        <v>-43946</v>
      </c>
      <c r="H146" s="21">
        <v>-73765</v>
      </c>
      <c r="I146" s="21">
        <v>218815</v>
      </c>
      <c r="J146" s="21">
        <v>336526</v>
      </c>
      <c r="K146" s="21">
        <f t="shared" si="6"/>
        <v>-117711</v>
      </c>
      <c r="L146" s="21"/>
    </row>
    <row r="147" spans="3:12" ht="0.75" customHeight="1">
      <c r="C147" s="8">
        <v>1985</v>
      </c>
      <c r="D147" s="8"/>
      <c r="E147" s="21">
        <v>8115</v>
      </c>
      <c r="F147" s="21">
        <v>37317</v>
      </c>
      <c r="G147" s="21">
        <f t="shared" si="5"/>
        <v>-29202</v>
      </c>
      <c r="H147" s="21">
        <v>-109084</v>
      </c>
      <c r="I147" s="21">
        <v>227159</v>
      </c>
      <c r="J147" s="21">
        <v>365438</v>
      </c>
      <c r="K147" s="21">
        <f t="shared" si="6"/>
        <v>-138279</v>
      </c>
      <c r="L147" s="21"/>
    </row>
    <row r="148" spans="3:12" ht="0.75" customHeight="1">
      <c r="C148" s="8">
        <v>1986</v>
      </c>
      <c r="D148" s="8"/>
      <c r="E148" s="21">
        <v>7713</v>
      </c>
      <c r="F148" s="21">
        <v>44220</v>
      </c>
      <c r="G148" s="21">
        <f t="shared" si="5"/>
        <v>-36507</v>
      </c>
      <c r="H148" s="21">
        <v>-115613</v>
      </c>
      <c r="I148" s="21">
        <v>254122</v>
      </c>
      <c r="J148" s="21">
        <v>406241</v>
      </c>
      <c r="K148" s="21">
        <f t="shared" si="6"/>
        <v>-152119</v>
      </c>
      <c r="L148" s="21"/>
    </row>
    <row r="149" spans="3:12" ht="0.75" customHeight="1">
      <c r="C149" s="8">
        <v>1987</v>
      </c>
      <c r="D149" s="8"/>
      <c r="E149" s="21">
        <v>8235</v>
      </c>
      <c r="F149" s="21">
        <v>41042</v>
      </c>
      <c r="G149" s="21">
        <f t="shared" si="5"/>
        <v>-32807</v>
      </c>
      <c r="H149" s="21">
        <v>-85720</v>
      </c>
      <c r="I149" s="21">
        <v>322426</v>
      </c>
      <c r="J149" s="21">
        <v>440952</v>
      </c>
      <c r="K149" s="21">
        <f t="shared" si="6"/>
        <v>-118526</v>
      </c>
      <c r="L149" s="21"/>
    </row>
    <row r="150" spans="3:12" ht="0.75" customHeight="1">
      <c r="C150" s="8">
        <v>1988</v>
      </c>
      <c r="D150" s="8"/>
      <c r="E150" s="21">
        <v>9869</v>
      </c>
      <c r="F150" s="21">
        <v>52779</v>
      </c>
      <c r="G150" s="21">
        <f t="shared" si="5"/>
        <v>-42910</v>
      </c>
      <c r="H150" s="21">
        <v>-66490</v>
      </c>
      <c r="I150" s="21">
        <v>363812</v>
      </c>
      <c r="J150" s="21">
        <v>473211</v>
      </c>
      <c r="K150" s="21">
        <f t="shared" si="6"/>
        <v>-109399</v>
      </c>
      <c r="L150" s="21"/>
    </row>
    <row r="151" spans="3:12" ht="0.75" customHeight="1">
      <c r="C151" s="8">
        <v>1989</v>
      </c>
      <c r="D151" s="8"/>
      <c r="E151" s="21">
        <v>12233</v>
      </c>
      <c r="F151" s="21">
        <v>64661</v>
      </c>
      <c r="G151" s="21">
        <f t="shared" si="5"/>
        <v>-52428</v>
      </c>
      <c r="H151" s="21">
        <v>-50068</v>
      </c>
      <c r="I151" s="21">
        <v>393592</v>
      </c>
      <c r="J151" s="21">
        <v>496088</v>
      </c>
      <c r="K151" s="21">
        <f t="shared" si="6"/>
        <v>-102496</v>
      </c>
      <c r="L151" s="21"/>
    </row>
    <row r="152" spans="3:12" ht="0.75" customHeight="1">
      <c r="C152" s="8">
        <v>1990</v>
      </c>
      <c r="D152" s="8"/>
      <c r="E152" s="21">
        <v>12081</v>
      </c>
      <c r="F152" s="21">
        <v>54629</v>
      </c>
      <c r="G152" s="21">
        <f t="shared" si="5"/>
        <v>-42548</v>
      </c>
      <c r="H152" s="21">
        <v>-24175</v>
      </c>
      <c r="I152" s="21">
        <v>421730</v>
      </c>
      <c r="J152" s="21">
        <v>488453</v>
      </c>
      <c r="K152" s="21">
        <f t="shared" si="6"/>
        <v>-66723</v>
      </c>
      <c r="L152" s="21"/>
    </row>
    <row r="153" spans="3:12" ht="0.75" customHeight="1">
      <c r="C153" s="8">
        <v>1991</v>
      </c>
      <c r="D153" s="8"/>
      <c r="E153" s="21">
        <v>11254</v>
      </c>
      <c r="F153" s="21">
        <v>55256</v>
      </c>
      <c r="G153" s="21">
        <f t="shared" si="5"/>
        <v>-44002</v>
      </c>
      <c r="H153" s="21">
        <v>-40500</v>
      </c>
      <c r="I153" s="21">
        <v>448164</v>
      </c>
      <c r="J153" s="21">
        <v>532665</v>
      </c>
      <c r="K153" s="21">
        <f t="shared" si="6"/>
        <v>-84501</v>
      </c>
      <c r="L153" s="21"/>
    </row>
    <row r="154" spans="3:12" ht="0.75" customHeight="1">
      <c r="C154" s="8">
        <v>1992</v>
      </c>
      <c r="D154" s="8"/>
      <c r="E154" s="21">
        <v>9756</v>
      </c>
      <c r="F154" s="21">
        <v>55900</v>
      </c>
      <c r="G154" s="21">
        <f t="shared" si="5"/>
        <v>-46144</v>
      </c>
      <c r="H154" s="21">
        <v>-69425</v>
      </c>
      <c r="I154" s="21">
        <v>465091</v>
      </c>
      <c r="J154" s="21">
        <v>580659</v>
      </c>
      <c r="K154" s="21">
        <f t="shared" si="6"/>
        <v>-115568</v>
      </c>
      <c r="L154" s="21"/>
    </row>
    <row r="155" spans="3:12" ht="0.75" customHeight="1">
      <c r="C155" s="8">
        <v>1993</v>
      </c>
      <c r="D155" s="8"/>
      <c r="E155" s="21">
        <v>8911</v>
      </c>
      <c r="F155" s="21">
        <v>56391</v>
      </c>
      <c r="G155" s="21">
        <f t="shared" si="5"/>
        <v>-47480</v>
      </c>
      <c r="H155" s="21">
        <v>-103149</v>
      </c>
      <c r="I155" s="21">
        <v>512626</v>
      </c>
      <c r="J155" s="21">
        <v>663256</v>
      </c>
      <c r="K155" s="21">
        <f t="shared" si="6"/>
        <v>-150630</v>
      </c>
      <c r="L155" s="21"/>
    </row>
    <row r="156" spans="3:12" ht="0.75" customHeight="1">
      <c r="C156" s="8">
        <v>1994</v>
      </c>
      <c r="D156" s="8"/>
      <c r="E156" s="21">
        <v>10358</v>
      </c>
      <c r="F156" s="21">
        <v>59109</v>
      </c>
      <c r="G156" s="21">
        <f t="shared" si="5"/>
        <v>-48751</v>
      </c>
      <c r="H156" s="21">
        <v>-110050</v>
      </c>
      <c r="I156" s="21">
        <v>584742</v>
      </c>
      <c r="J156" s="21">
        <v>743543</v>
      </c>
      <c r="K156" s="21">
        <f t="shared" si="6"/>
        <v>-158801</v>
      </c>
      <c r="L156" s="21"/>
    </row>
    <row r="157" spans="3:12" ht="0.75" customHeight="1">
      <c r="C157" s="8">
        <v>1995</v>
      </c>
      <c r="D157" s="8"/>
      <c r="E157" s="21">
        <v>12181</v>
      </c>
      <c r="F157" s="21">
        <v>78086</v>
      </c>
      <c r="G157" s="21">
        <f t="shared" si="5"/>
        <v>-65905</v>
      </c>
      <c r="H157" s="21">
        <v>-104309</v>
      </c>
      <c r="I157" s="21">
        <v>625075</v>
      </c>
      <c r="J157" s="21">
        <v>795289</v>
      </c>
      <c r="K157" s="21">
        <f t="shared" si="6"/>
        <v>-170214</v>
      </c>
      <c r="L157" s="21"/>
    </row>
    <row r="158" spans="3:12" ht="0.75" customHeight="1">
      <c r="C158" s="8">
        <v>1996</v>
      </c>
      <c r="D158" s="8"/>
      <c r="E158" s="21">
        <v>12682</v>
      </c>
      <c r="F158" s="21">
        <v>78277</v>
      </c>
      <c r="G158" s="21">
        <f t="shared" si="5"/>
        <v>-65595</v>
      </c>
      <c r="H158" s="21">
        <v>-114927</v>
      </c>
      <c r="I158" s="21">
        <v>689182</v>
      </c>
      <c r="J158" s="21">
        <v>869704</v>
      </c>
      <c r="K158" s="21">
        <f t="shared" si="6"/>
        <v>-180522</v>
      </c>
      <c r="L158" s="21"/>
    </row>
    <row r="159" spans="3:12" ht="0.75" customHeight="1">
      <c r="C159" s="8">
        <v>1997</v>
      </c>
      <c r="D159" s="8"/>
      <c r="E159" s="21">
        <v>10251</v>
      </c>
      <c r="F159" s="21">
        <v>57323</v>
      </c>
      <c r="G159" s="21">
        <f t="shared" si="5"/>
        <v>-47072</v>
      </c>
      <c r="H159" s="21">
        <v>-183686</v>
      </c>
      <c r="I159" s="21">
        <v>682138</v>
      </c>
      <c r="J159" s="21">
        <v>911896</v>
      </c>
      <c r="K159" s="21">
        <f t="shared" si="6"/>
        <v>-229758</v>
      </c>
      <c r="L159" s="21"/>
    </row>
    <row r="160" spans="3:12" ht="0.75" customHeight="1">
      <c r="C160" s="8">
        <v>1998</v>
      </c>
      <c r="D160" s="8"/>
      <c r="E160" s="21">
        <v>9880</v>
      </c>
      <c r="F160" s="21">
        <v>75803</v>
      </c>
      <c r="G160" s="21">
        <f t="shared" si="5"/>
        <v>-65923</v>
      </c>
      <c r="H160" s="21">
        <v>-262898</v>
      </c>
      <c r="I160" s="21">
        <v>695797</v>
      </c>
      <c r="J160" s="21">
        <v>1024618</v>
      </c>
      <c r="K160" s="21">
        <f t="shared" si="6"/>
        <v>-328821</v>
      </c>
      <c r="L160" s="21"/>
    </row>
    <row r="161" spans="3:12" ht="0.75" customHeight="1">
      <c r="C161" s="8">
        <v>1999</v>
      </c>
      <c r="D161" s="8"/>
      <c r="E161" s="22">
        <f>11890/(11/12)</f>
        <v>12970.909090909092</v>
      </c>
      <c r="F161" s="22">
        <f>120042/(11/12)</f>
        <v>130954.9090909091</v>
      </c>
      <c r="G161" s="21">
        <f t="shared" si="5"/>
        <v>-117984.00000000001</v>
      </c>
      <c r="H161" s="22">
        <f>-293234/(11/12)</f>
        <v>-319891.63636363635</v>
      </c>
      <c r="I161" s="22">
        <f>716004/(11/12)</f>
        <v>781095.2727272727</v>
      </c>
      <c r="J161" s="22">
        <f>1117390/(11/12)</f>
        <v>1218970.9090909092</v>
      </c>
      <c r="K161" s="21">
        <f t="shared" si="6"/>
        <v>-437875.63636363647</v>
      </c>
      <c r="L161" s="22"/>
    </row>
    <row r="162" spans="3:12" ht="0.75" customHeight="1">
      <c r="C162" s="8">
        <v>2000</v>
      </c>
      <c r="D162" s="8"/>
      <c r="E162" s="21"/>
      <c r="F162" s="21"/>
      <c r="G162" s="21"/>
      <c r="H162" s="21"/>
      <c r="I162" s="21"/>
      <c r="J162" s="21"/>
      <c r="K162" s="21"/>
      <c r="L162" s="21"/>
    </row>
    <row r="163" spans="3:4" ht="0.75" customHeight="1">
      <c r="C163" s="8">
        <v>2001</v>
      </c>
      <c r="D163" s="8"/>
    </row>
    <row r="164" spans="3:4" ht="0.75" customHeight="1">
      <c r="C164" s="8">
        <v>2002</v>
      </c>
      <c r="D164" s="8"/>
    </row>
    <row r="165" spans="3:4" ht="0.75" customHeight="1">
      <c r="C165" s="8">
        <v>2003</v>
      </c>
      <c r="D165" s="8"/>
    </row>
    <row r="166" spans="3:4" ht="0.75" customHeight="1">
      <c r="C166" s="8">
        <v>2004</v>
      </c>
      <c r="D166" s="8"/>
    </row>
    <row r="167" spans="3:4" ht="0.75" customHeight="1">
      <c r="C167" s="8">
        <v>2005</v>
      </c>
      <c r="D167" s="8"/>
    </row>
    <row r="168" spans="3:4" ht="0.75" customHeight="1">
      <c r="C168" s="8">
        <v>2006</v>
      </c>
      <c r="D168" s="8"/>
    </row>
    <row r="169" spans="3:4" ht="0.75" customHeight="1">
      <c r="C169" s="8">
        <v>2007</v>
      </c>
      <c r="D169" s="8"/>
    </row>
    <row r="170" spans="3:4" ht="0.75" customHeight="1">
      <c r="C170" s="8">
        <v>2008</v>
      </c>
      <c r="D170" s="8"/>
    </row>
    <row r="171" spans="3:4" ht="0.75" customHeight="1">
      <c r="C171" s="8">
        <v>2009</v>
      </c>
      <c r="D171" s="8"/>
    </row>
    <row r="172" spans="3:4" ht="0.75" customHeight="1">
      <c r="C172" s="8">
        <v>2010</v>
      </c>
      <c r="D172" s="8"/>
    </row>
    <row r="173" spans="3:4" ht="12.75" thickBot="1">
      <c r="C173" s="8"/>
      <c r="D173" s="8"/>
    </row>
    <row r="174" spans="4:10" ht="15" thickBot="1">
      <c r="D174" s="25"/>
      <c r="E174" s="37"/>
      <c r="F174" s="37"/>
      <c r="G174" s="26" t="s">
        <v>39</v>
      </c>
      <c r="H174" s="37"/>
      <c r="I174" s="37"/>
      <c r="J174" s="47"/>
    </row>
    <row r="175" ht="0.75" customHeight="1">
      <c r="H175" s="2" t="s">
        <v>40</v>
      </c>
    </row>
    <row r="176" spans="2:14" ht="0.75" customHeight="1">
      <c r="B176" s="36" t="s">
        <v>46</v>
      </c>
      <c r="C176" s="8"/>
      <c r="D176" s="8"/>
      <c r="E176" s="1" t="s">
        <v>41</v>
      </c>
      <c r="F176" s="1" t="s">
        <v>42</v>
      </c>
      <c r="G176" s="1" t="s">
        <v>43</v>
      </c>
      <c r="H176" s="1" t="s">
        <v>44</v>
      </c>
      <c r="I176" s="1" t="s">
        <v>41</v>
      </c>
      <c r="J176" s="1" t="s">
        <v>42</v>
      </c>
      <c r="K176" s="1" t="s">
        <v>43</v>
      </c>
      <c r="L176" s="1" t="s">
        <v>44</v>
      </c>
      <c r="N176" s="35" t="s">
        <v>45</v>
      </c>
    </row>
    <row r="177" spans="2:14" ht="0.75" customHeight="1">
      <c r="B177" s="1">
        <f>N177/$N$204</f>
        <v>0.25227272727272726</v>
      </c>
      <c r="C177" s="19">
        <v>1973</v>
      </c>
      <c r="D177" s="19"/>
      <c r="E177" s="8"/>
      <c r="F177" s="8"/>
      <c r="G177" s="27">
        <f aca="true" t="shared" si="7" ref="G177:H181">K177/$B177</f>
        <v>11.297297297297298</v>
      </c>
      <c r="H177" s="29">
        <f t="shared" si="7"/>
        <v>65.4054054054054</v>
      </c>
      <c r="I177" s="27"/>
      <c r="J177" s="27"/>
      <c r="K177" s="27">
        <v>2.85</v>
      </c>
      <c r="L177" s="29">
        <v>16.5</v>
      </c>
      <c r="M177" s="27"/>
      <c r="N177" s="31">
        <v>44.4</v>
      </c>
    </row>
    <row r="178" spans="2:14" ht="0.75" customHeight="1">
      <c r="B178" s="1">
        <f aca="true" t="shared" si="8" ref="B178:B204">N178/$N$204</f>
        <v>0.28011363636363634</v>
      </c>
      <c r="C178" s="19">
        <v>1974</v>
      </c>
      <c r="D178" s="19"/>
      <c r="E178" s="8"/>
      <c r="F178" s="8"/>
      <c r="G178" s="27">
        <f t="shared" si="7"/>
        <v>10.103042596348885</v>
      </c>
      <c r="H178" s="29">
        <f t="shared" si="7"/>
        <v>65.7947261663286</v>
      </c>
      <c r="I178" s="27"/>
      <c r="J178" s="27"/>
      <c r="K178" s="27">
        <v>2.83</v>
      </c>
      <c r="L178" s="29">
        <v>18.43</v>
      </c>
      <c r="M178" s="27"/>
      <c r="N178" s="31">
        <v>49.3</v>
      </c>
    </row>
    <row r="179" spans="2:14" ht="0.75" customHeight="1">
      <c r="B179" s="1">
        <f t="shared" si="8"/>
        <v>0.30568181818181817</v>
      </c>
      <c r="C179" s="19">
        <v>1975</v>
      </c>
      <c r="D179" s="19"/>
      <c r="E179" s="8"/>
      <c r="F179" s="8"/>
      <c r="G179" s="27">
        <f t="shared" si="7"/>
        <v>10.206691449814127</v>
      </c>
      <c r="H179" s="29">
        <f t="shared" si="7"/>
        <v>62.38513011152417</v>
      </c>
      <c r="I179" s="27"/>
      <c r="J179" s="27"/>
      <c r="K179" s="27">
        <v>3.12</v>
      </c>
      <c r="L179" s="29">
        <v>19.07</v>
      </c>
      <c r="M179" s="27"/>
      <c r="N179" s="31">
        <v>53.8</v>
      </c>
    </row>
    <row r="180" spans="2:14" ht="0.75" customHeight="1">
      <c r="B180" s="1">
        <f t="shared" si="8"/>
        <v>0.32329545454545455</v>
      </c>
      <c r="C180" s="19">
        <v>1976</v>
      </c>
      <c r="D180" s="19"/>
      <c r="E180" s="8"/>
      <c r="F180" s="8"/>
      <c r="G180" s="27">
        <f t="shared" si="7"/>
        <v>10.54762741652021</v>
      </c>
      <c r="H180" s="29">
        <f t="shared" si="7"/>
        <v>58.95536028119508</v>
      </c>
      <c r="I180" s="27"/>
      <c r="J180" s="27"/>
      <c r="K180" s="27">
        <v>3.41</v>
      </c>
      <c r="L180" s="29">
        <v>19.06</v>
      </c>
      <c r="M180" s="27"/>
      <c r="N180" s="31">
        <v>56.9</v>
      </c>
    </row>
    <row r="181" spans="2:14" ht="0.75" customHeight="1">
      <c r="B181" s="1">
        <f t="shared" si="8"/>
        <v>0.3443181818181818</v>
      </c>
      <c r="C181" s="19">
        <v>1977</v>
      </c>
      <c r="D181" s="19"/>
      <c r="E181" s="8"/>
      <c r="F181" s="8"/>
      <c r="G181" s="27">
        <f t="shared" si="7"/>
        <v>11.065346534653466</v>
      </c>
      <c r="H181" s="29">
        <f t="shared" si="7"/>
        <v>57.59207920792079</v>
      </c>
      <c r="I181" s="27"/>
      <c r="J181" s="27"/>
      <c r="K181" s="27">
        <v>3.81</v>
      </c>
      <c r="L181" s="29">
        <v>19.83</v>
      </c>
      <c r="M181" s="27"/>
      <c r="N181" s="31">
        <v>60.6</v>
      </c>
    </row>
    <row r="182" spans="2:14" ht="0.75" customHeight="1">
      <c r="B182" s="1">
        <f t="shared" si="8"/>
        <v>0.3704545454545455</v>
      </c>
      <c r="C182" s="19">
        <v>1978</v>
      </c>
      <c r="D182" s="19"/>
      <c r="E182" s="27">
        <f>I182/$B182</f>
        <v>21.595092024539877</v>
      </c>
      <c r="F182" s="27">
        <f aca="true" t="shared" si="9" ref="F182:H197">J182/$B182</f>
        <v>14.630674846625766</v>
      </c>
      <c r="G182" s="27">
        <f t="shared" si="9"/>
        <v>10.257668711656441</v>
      </c>
      <c r="H182" s="29">
        <f t="shared" si="9"/>
        <v>52.17914110429447</v>
      </c>
      <c r="I182" s="27">
        <v>8</v>
      </c>
      <c r="J182" s="27">
        <v>5.42</v>
      </c>
      <c r="K182" s="27">
        <v>3.8</v>
      </c>
      <c r="L182" s="29">
        <v>19.33</v>
      </c>
      <c r="M182" s="27"/>
      <c r="N182" s="31">
        <v>65.2</v>
      </c>
    </row>
    <row r="183" spans="2:14" ht="0.75" customHeight="1">
      <c r="B183" s="1">
        <f t="shared" si="8"/>
        <v>0.4125</v>
      </c>
      <c r="C183" s="19">
        <v>1979</v>
      </c>
      <c r="D183" s="19"/>
      <c r="E183" s="27">
        <f aca="true" t="shared" si="10" ref="E183:E204">I183/$B183</f>
        <v>23.539393939393943</v>
      </c>
      <c r="F183" s="27">
        <f t="shared" si="9"/>
        <v>16.945454545454545</v>
      </c>
      <c r="G183" s="27">
        <f t="shared" si="9"/>
        <v>9.769696969696971</v>
      </c>
      <c r="H183" s="29">
        <f t="shared" si="9"/>
        <v>45.01818181818182</v>
      </c>
      <c r="I183" s="27">
        <v>9.71</v>
      </c>
      <c r="J183" s="27">
        <v>6.99</v>
      </c>
      <c r="K183" s="27">
        <v>4.03</v>
      </c>
      <c r="L183" s="29">
        <v>18.57</v>
      </c>
      <c r="M183" s="27"/>
      <c r="N183" s="31">
        <v>72.6</v>
      </c>
    </row>
    <row r="184" spans="2:14" ht="0.75" customHeight="1">
      <c r="B184" s="1">
        <f t="shared" si="8"/>
        <v>0.4681818181818182</v>
      </c>
      <c r="C184" s="19">
        <v>1980</v>
      </c>
      <c r="D184" s="19"/>
      <c r="E184" s="27">
        <f t="shared" si="10"/>
        <v>25.310679611650485</v>
      </c>
      <c r="F184" s="27">
        <f t="shared" si="9"/>
        <v>18.198058252427185</v>
      </c>
      <c r="G184" s="27">
        <f t="shared" si="9"/>
        <v>9.312621359223302</v>
      </c>
      <c r="H184" s="29">
        <f t="shared" si="9"/>
        <v>41.03106796116505</v>
      </c>
      <c r="I184" s="27">
        <v>11.85</v>
      </c>
      <c r="J184" s="27">
        <v>8.52</v>
      </c>
      <c r="K184" s="27">
        <v>4.36</v>
      </c>
      <c r="L184" s="29">
        <v>19.21</v>
      </c>
      <c r="M184" s="27"/>
      <c r="N184" s="31">
        <v>82.4</v>
      </c>
    </row>
    <row r="185" spans="2:14" ht="0.75" customHeight="1">
      <c r="B185" s="1">
        <f t="shared" si="8"/>
        <v>0.5164772727272727</v>
      </c>
      <c r="C185" s="19">
        <v>1981</v>
      </c>
      <c r="D185" s="19"/>
      <c r="E185" s="27">
        <f t="shared" si="10"/>
        <v>23.040704070407042</v>
      </c>
      <c r="F185" s="27">
        <f t="shared" si="9"/>
        <v>18.335753575357536</v>
      </c>
      <c r="G185" s="27">
        <f t="shared" si="9"/>
        <v>8.906490649064907</v>
      </c>
      <c r="H185" s="29">
        <f t="shared" si="9"/>
        <v>38.7045104510451</v>
      </c>
      <c r="I185" s="27">
        <v>11.9</v>
      </c>
      <c r="J185" s="27">
        <v>9.47</v>
      </c>
      <c r="K185" s="27">
        <v>4.6</v>
      </c>
      <c r="L185" s="29">
        <v>19.99</v>
      </c>
      <c r="M185" s="27"/>
      <c r="N185" s="31">
        <v>90.9</v>
      </c>
    </row>
    <row r="186" spans="2:14" ht="0.75" customHeight="1">
      <c r="B186" s="1">
        <f t="shared" si="8"/>
        <v>0.5482954545454546</v>
      </c>
      <c r="C186" s="19">
        <v>1982</v>
      </c>
      <c r="D186" s="19"/>
      <c r="E186" s="27">
        <f t="shared" si="10"/>
        <v>19.35088082901554</v>
      </c>
      <c r="F186" s="27">
        <f t="shared" si="9"/>
        <v>15.812642487046631</v>
      </c>
      <c r="G186" s="27">
        <f t="shared" si="9"/>
        <v>9.520414507772019</v>
      </c>
      <c r="H186" s="29">
        <f t="shared" si="9"/>
        <v>38.22756476683938</v>
      </c>
      <c r="I186" s="27">
        <v>10.61</v>
      </c>
      <c r="J186" s="27">
        <v>8.67</v>
      </c>
      <c r="K186" s="27">
        <v>5.22</v>
      </c>
      <c r="L186" s="29">
        <v>20.96</v>
      </c>
      <c r="M186" s="27"/>
      <c r="N186" s="31">
        <v>96.5</v>
      </c>
    </row>
    <row r="187" spans="2:14" ht="0.75" customHeight="1">
      <c r="B187" s="1">
        <f t="shared" si="8"/>
        <v>0.5659090909090909</v>
      </c>
      <c r="C187" s="19">
        <v>1983</v>
      </c>
      <c r="D187" s="19"/>
      <c r="E187" s="27">
        <f t="shared" si="10"/>
        <v>17.370281124497993</v>
      </c>
      <c r="F187" s="27">
        <f t="shared" si="9"/>
        <v>13.783132530120481</v>
      </c>
      <c r="G187" s="27">
        <f t="shared" si="9"/>
        <v>10.42570281124498</v>
      </c>
      <c r="H187" s="29">
        <f t="shared" si="9"/>
        <v>37.444176706827314</v>
      </c>
      <c r="I187" s="27">
        <v>9.83</v>
      </c>
      <c r="J187" s="27">
        <v>7.8</v>
      </c>
      <c r="K187" s="27">
        <v>5.9</v>
      </c>
      <c r="L187" s="29">
        <v>21.19</v>
      </c>
      <c r="M187" s="27"/>
      <c r="N187" s="31">
        <v>99.6</v>
      </c>
    </row>
    <row r="188" spans="2:14" ht="0.75" customHeight="1">
      <c r="B188" s="1">
        <f t="shared" si="8"/>
        <v>0.5903409090909091</v>
      </c>
      <c r="C188" s="19">
        <v>1984</v>
      </c>
      <c r="D188" s="19"/>
      <c r="E188" s="27">
        <f t="shared" si="10"/>
        <v>15.618094321462946</v>
      </c>
      <c r="F188" s="27">
        <f t="shared" si="9"/>
        <v>12.823099133782485</v>
      </c>
      <c r="G188" s="27">
        <f t="shared" si="9"/>
        <v>9.689316650625601</v>
      </c>
      <c r="H188" s="29">
        <f t="shared" si="9"/>
        <v>34.166698748796925</v>
      </c>
      <c r="I188" s="27">
        <v>9.22</v>
      </c>
      <c r="J188" s="27">
        <v>7.57</v>
      </c>
      <c r="K188" s="27">
        <v>5.72</v>
      </c>
      <c r="L188" s="29">
        <v>20.17</v>
      </c>
      <c r="M188" s="27"/>
      <c r="N188" s="31">
        <v>103.9</v>
      </c>
    </row>
    <row r="189" spans="2:14" ht="0.75" customHeight="1">
      <c r="B189" s="1">
        <f t="shared" si="8"/>
        <v>0.6113636363636363</v>
      </c>
      <c r="C189" s="19">
        <v>1985</v>
      </c>
      <c r="D189" s="19"/>
      <c r="E189" s="27">
        <f t="shared" si="10"/>
        <v>14.541263940520448</v>
      </c>
      <c r="F189" s="27">
        <f t="shared" si="9"/>
        <v>11.547955390334572</v>
      </c>
      <c r="G189" s="27">
        <f t="shared" si="9"/>
        <v>9.028996282527881</v>
      </c>
      <c r="H189" s="29">
        <f t="shared" si="9"/>
        <v>32.92639405204461</v>
      </c>
      <c r="I189" s="27">
        <v>8.89</v>
      </c>
      <c r="J189" s="27">
        <v>7.06</v>
      </c>
      <c r="K189" s="27">
        <v>5.52</v>
      </c>
      <c r="L189" s="29">
        <v>20.13</v>
      </c>
      <c r="M189" s="27"/>
      <c r="N189" s="31">
        <v>107.6</v>
      </c>
    </row>
    <row r="190" spans="2:14" ht="0.75" customHeight="1">
      <c r="B190" s="1">
        <f t="shared" si="8"/>
        <v>0.6227272727272727</v>
      </c>
      <c r="C190" s="19">
        <v>1986</v>
      </c>
      <c r="D190" s="19"/>
      <c r="E190" s="27">
        <f t="shared" si="10"/>
        <v>10.903649635036498</v>
      </c>
      <c r="F190" s="27">
        <f t="shared" si="9"/>
        <v>8.83211678832117</v>
      </c>
      <c r="G190" s="27">
        <f t="shared" si="9"/>
        <v>8.302189781021898</v>
      </c>
      <c r="H190" s="29">
        <f t="shared" si="9"/>
        <v>31.859854014598543</v>
      </c>
      <c r="I190" s="27">
        <v>6.79</v>
      </c>
      <c r="J190" s="27">
        <v>5.5</v>
      </c>
      <c r="K190" s="27">
        <v>5.17</v>
      </c>
      <c r="L190" s="29">
        <v>19.84</v>
      </c>
      <c r="M190" s="27"/>
      <c r="N190" s="31">
        <v>109.6</v>
      </c>
    </row>
    <row r="191" spans="2:14" ht="0.75" customHeight="1">
      <c r="B191" s="1">
        <f t="shared" si="8"/>
        <v>0.6454545454545454</v>
      </c>
      <c r="C191" s="19">
        <v>1987</v>
      </c>
      <c r="D191" s="19"/>
      <c r="E191" s="27">
        <f t="shared" si="10"/>
        <v>10.442253521126762</v>
      </c>
      <c r="F191" s="27">
        <f t="shared" si="9"/>
        <v>7.901408450704226</v>
      </c>
      <c r="G191" s="27">
        <f t="shared" si="9"/>
        <v>7.328169014084509</v>
      </c>
      <c r="H191" s="29">
        <f t="shared" si="9"/>
        <v>29.777464788732395</v>
      </c>
      <c r="I191" s="27">
        <v>6.74</v>
      </c>
      <c r="J191" s="27">
        <v>5.1</v>
      </c>
      <c r="K191" s="27">
        <v>4.73</v>
      </c>
      <c r="L191" s="29">
        <v>19.22</v>
      </c>
      <c r="M191" s="27"/>
      <c r="N191" s="31">
        <v>113.6</v>
      </c>
    </row>
    <row r="192" spans="2:14" ht="0.75" customHeight="1">
      <c r="B192" s="1">
        <f t="shared" si="8"/>
        <v>0.6721590909090909</v>
      </c>
      <c r="C192" s="19">
        <v>1988</v>
      </c>
      <c r="D192" s="19"/>
      <c r="E192" s="27">
        <f t="shared" si="10"/>
        <v>9.685207100591716</v>
      </c>
      <c r="F192" s="27">
        <f t="shared" si="9"/>
        <v>7.379205409974641</v>
      </c>
      <c r="G192" s="27">
        <f t="shared" si="9"/>
        <v>6.679966187658496</v>
      </c>
      <c r="H192" s="29">
        <f t="shared" si="9"/>
        <v>27.567878275570585</v>
      </c>
      <c r="I192" s="27">
        <v>6.51</v>
      </c>
      <c r="J192" s="27">
        <v>4.96</v>
      </c>
      <c r="K192" s="27">
        <v>4.49</v>
      </c>
      <c r="L192" s="29">
        <v>18.53</v>
      </c>
      <c r="M192" s="27"/>
      <c r="N192" s="31">
        <v>118.3</v>
      </c>
    </row>
    <row r="193" spans="2:14" ht="0.75" customHeight="1">
      <c r="B193" s="1">
        <f t="shared" si="8"/>
        <v>0.7045454545454546</v>
      </c>
      <c r="C193" s="19">
        <v>1989</v>
      </c>
      <c r="D193" s="19"/>
      <c r="E193" s="27">
        <f t="shared" si="10"/>
        <v>9.694193548387096</v>
      </c>
      <c r="F193" s="27">
        <f t="shared" si="9"/>
        <v>7.4232258064516135</v>
      </c>
      <c r="G193" s="27">
        <f t="shared" si="9"/>
        <v>6.259354838709677</v>
      </c>
      <c r="H193" s="29">
        <f t="shared" si="9"/>
        <v>25.661935483870963</v>
      </c>
      <c r="I193" s="27">
        <v>6.83</v>
      </c>
      <c r="J193" s="27">
        <v>5.23</v>
      </c>
      <c r="K193" s="27">
        <v>4.41</v>
      </c>
      <c r="L193" s="29">
        <v>18.08</v>
      </c>
      <c r="M193" s="27"/>
      <c r="N193" s="31">
        <v>124</v>
      </c>
    </row>
    <row r="194" spans="2:14" ht="0.75" customHeight="1">
      <c r="B194" s="1">
        <f t="shared" si="8"/>
        <v>0.7426136363636363</v>
      </c>
      <c r="C194" s="19">
        <v>1990</v>
      </c>
      <c r="D194" s="19"/>
      <c r="E194" s="27">
        <f t="shared" si="10"/>
        <v>10.018668706962512</v>
      </c>
      <c r="F194" s="27">
        <f t="shared" si="9"/>
        <v>7.89104820198929</v>
      </c>
      <c r="G194" s="27">
        <f t="shared" si="9"/>
        <v>5.8038255547054325</v>
      </c>
      <c r="H194" s="29">
        <f t="shared" si="9"/>
        <v>23.646212700841623</v>
      </c>
      <c r="I194" s="27">
        <v>7.44</v>
      </c>
      <c r="J194" s="27">
        <v>5.86</v>
      </c>
      <c r="K194" s="27">
        <v>4.31</v>
      </c>
      <c r="L194" s="29">
        <v>17.56</v>
      </c>
      <c r="M194" s="27"/>
      <c r="N194" s="31">
        <v>130.7</v>
      </c>
    </row>
    <row r="195" spans="2:14" ht="0.75" customHeight="1">
      <c r="B195" s="1">
        <f t="shared" si="8"/>
        <v>0.7738636363636363</v>
      </c>
      <c r="C195" s="19">
        <v>1991</v>
      </c>
      <c r="D195" s="19"/>
      <c r="E195" s="27">
        <f t="shared" si="10"/>
        <v>9.07136563876652</v>
      </c>
      <c r="F195" s="27">
        <f t="shared" si="9"/>
        <v>6.965051395007342</v>
      </c>
      <c r="G195" s="27">
        <f t="shared" si="9"/>
        <v>5.349779735682819</v>
      </c>
      <c r="H195" s="29">
        <f t="shared" si="9"/>
        <v>22.355359765051396</v>
      </c>
      <c r="I195" s="27">
        <v>7.02</v>
      </c>
      <c r="J195" s="27">
        <v>5.39</v>
      </c>
      <c r="K195" s="27">
        <v>4.14</v>
      </c>
      <c r="L195" s="29">
        <v>17.3</v>
      </c>
      <c r="M195" s="27"/>
      <c r="N195" s="31">
        <v>136.2</v>
      </c>
    </row>
    <row r="196" spans="2:14" ht="0.75" customHeight="1">
      <c r="B196" s="1">
        <f t="shared" si="8"/>
        <v>0.797159090909091</v>
      </c>
      <c r="C196" s="19">
        <v>1992</v>
      </c>
      <c r="D196" s="19"/>
      <c r="E196" s="27">
        <f t="shared" si="10"/>
        <v>8.50520313613685</v>
      </c>
      <c r="F196" s="27">
        <f t="shared" si="9"/>
        <v>6.021382751247327</v>
      </c>
      <c r="G196" s="27">
        <f t="shared" si="9"/>
        <v>5.105630791161796</v>
      </c>
      <c r="H196" s="29">
        <f t="shared" si="9"/>
        <v>21.513898788310758</v>
      </c>
      <c r="I196" s="27">
        <v>6.78</v>
      </c>
      <c r="J196" s="27">
        <v>4.8</v>
      </c>
      <c r="K196" s="27">
        <v>4.07</v>
      </c>
      <c r="L196" s="29">
        <v>17.15</v>
      </c>
      <c r="M196" s="27"/>
      <c r="N196" s="31">
        <v>140.3</v>
      </c>
    </row>
    <row r="197" spans="2:14" ht="0.75" customHeight="1">
      <c r="B197" s="1">
        <f t="shared" si="8"/>
        <v>0.8210227272727273</v>
      </c>
      <c r="C197" s="19">
        <v>1993</v>
      </c>
      <c r="D197" s="19"/>
      <c r="E197" s="27">
        <f t="shared" si="10"/>
        <v>7.9047750865051905</v>
      </c>
      <c r="F197" s="27">
        <f t="shared" si="9"/>
        <v>5.541868512110726</v>
      </c>
      <c r="G197" s="27">
        <f t="shared" si="9"/>
        <v>5.054671280276817</v>
      </c>
      <c r="H197" s="29">
        <f t="shared" si="9"/>
        <v>20.559723183391</v>
      </c>
      <c r="I197" s="27">
        <v>6.49</v>
      </c>
      <c r="J197" s="27">
        <v>4.55</v>
      </c>
      <c r="K197" s="27">
        <v>4.15</v>
      </c>
      <c r="L197" s="29">
        <v>16.88</v>
      </c>
      <c r="M197" s="27"/>
      <c r="N197" s="31">
        <v>144.5</v>
      </c>
    </row>
    <row r="198" spans="2:14" ht="0.75" customHeight="1">
      <c r="B198" s="1">
        <f t="shared" si="8"/>
        <v>0.8420454545454544</v>
      </c>
      <c r="C198" s="19">
        <v>1994</v>
      </c>
      <c r="D198" s="19"/>
      <c r="E198" s="27">
        <f t="shared" si="10"/>
        <v>7.553036437246965</v>
      </c>
      <c r="F198" s="27">
        <f aca="true" t="shared" si="11" ref="F198:F204">J198/$B198</f>
        <v>5.106612685560054</v>
      </c>
      <c r="G198" s="27">
        <f aca="true" t="shared" si="12" ref="G198:G204">K198/$B198</f>
        <v>4.987854251012147</v>
      </c>
      <c r="H198" s="29">
        <f aca="true" t="shared" si="13" ref="H198:H204">L198/$B198</f>
        <v>19.678272604588397</v>
      </c>
      <c r="I198" s="27">
        <v>6.36</v>
      </c>
      <c r="J198" s="27">
        <v>4.3</v>
      </c>
      <c r="K198" s="27">
        <v>4.2</v>
      </c>
      <c r="L198" s="29">
        <v>16.57</v>
      </c>
      <c r="M198" s="27"/>
      <c r="N198" s="31">
        <v>148.2</v>
      </c>
    </row>
    <row r="199" spans="2:14" ht="0.75" customHeight="1">
      <c r="B199" s="1">
        <f t="shared" si="8"/>
        <v>0.865909090909091</v>
      </c>
      <c r="C199" s="19">
        <v>1995</v>
      </c>
      <c r="D199" s="19"/>
      <c r="E199" s="27">
        <f t="shared" si="10"/>
        <v>7.356430446194225</v>
      </c>
      <c r="F199" s="27">
        <f t="shared" si="11"/>
        <v>4.734908136482939</v>
      </c>
      <c r="G199" s="27">
        <f t="shared" si="12"/>
        <v>4.469291338582677</v>
      </c>
      <c r="H199" s="29">
        <f t="shared" si="13"/>
        <v>18.6509186351706</v>
      </c>
      <c r="I199" s="27">
        <v>6.37</v>
      </c>
      <c r="J199" s="27">
        <v>4.1</v>
      </c>
      <c r="K199" s="27">
        <v>3.87</v>
      </c>
      <c r="L199" s="29">
        <v>16.15</v>
      </c>
      <c r="M199" s="27"/>
      <c r="N199" s="31">
        <v>152.4</v>
      </c>
    </row>
    <row r="200" spans="2:14" ht="0.75" customHeight="1">
      <c r="B200" s="1">
        <f t="shared" si="8"/>
        <v>0.8914772727272727</v>
      </c>
      <c r="C200" s="19">
        <v>1996</v>
      </c>
      <c r="D200" s="19"/>
      <c r="E200" s="27">
        <f t="shared" si="10"/>
        <v>7.4146590184831105</v>
      </c>
      <c r="F200" s="27">
        <f t="shared" si="11"/>
        <v>5.092670490758445</v>
      </c>
      <c r="G200" s="27">
        <f t="shared" si="12"/>
        <v>4.408413001912046</v>
      </c>
      <c r="H200" s="29">
        <f t="shared" si="13"/>
        <v>17.521478648820903</v>
      </c>
      <c r="I200" s="27">
        <v>6.61</v>
      </c>
      <c r="J200" s="27">
        <v>4.54</v>
      </c>
      <c r="K200" s="27">
        <v>3.93</v>
      </c>
      <c r="L200" s="29">
        <v>15.62</v>
      </c>
      <c r="M200" s="27"/>
      <c r="N200" s="31">
        <v>156.9</v>
      </c>
    </row>
    <row r="201" spans="2:14" ht="0.75" customHeight="1">
      <c r="B201" s="1">
        <f t="shared" si="8"/>
        <v>0.9119318181818182</v>
      </c>
      <c r="C201" s="19">
        <v>1997</v>
      </c>
      <c r="D201" s="19"/>
      <c r="E201" s="27">
        <f t="shared" si="10"/>
        <v>7.105794392523364</v>
      </c>
      <c r="F201" s="27">
        <f t="shared" si="11"/>
        <v>4.846853582554517</v>
      </c>
      <c r="G201" s="27">
        <f t="shared" si="12"/>
        <v>4.616573208722741</v>
      </c>
      <c r="H201" s="29">
        <f t="shared" si="13"/>
        <v>16.87626168224299</v>
      </c>
      <c r="I201" s="27">
        <v>6.48</v>
      </c>
      <c r="J201" s="27">
        <v>4.42</v>
      </c>
      <c r="K201" s="27">
        <v>4.21</v>
      </c>
      <c r="L201" s="29">
        <v>15.39</v>
      </c>
      <c r="M201" s="27"/>
      <c r="N201" s="31">
        <v>160.5</v>
      </c>
    </row>
    <row r="202" spans="2:14" ht="0.75" customHeight="1">
      <c r="B202" s="1">
        <f t="shared" si="8"/>
        <v>0.9261363636363636</v>
      </c>
      <c r="C202" s="19">
        <v>1998</v>
      </c>
      <c r="D202" s="19"/>
      <c r="E202" s="27">
        <f t="shared" si="10"/>
        <v>5.949447852760736</v>
      </c>
      <c r="F202" s="27">
        <f t="shared" si="11"/>
        <v>4.070674846625767</v>
      </c>
      <c r="G202" s="27">
        <f t="shared" si="12"/>
        <v>4.373006134969325</v>
      </c>
      <c r="H202" s="29">
        <f t="shared" si="13"/>
        <v>16.034355828220857</v>
      </c>
      <c r="I202" s="27">
        <v>5.51</v>
      </c>
      <c r="J202" s="27">
        <v>3.77</v>
      </c>
      <c r="K202" s="27">
        <v>4.05</v>
      </c>
      <c r="L202" s="29">
        <v>14.85</v>
      </c>
      <c r="M202" s="27"/>
      <c r="N202" s="31">
        <v>163</v>
      </c>
    </row>
    <row r="203" spans="2:14" ht="0.75" customHeight="1">
      <c r="B203" s="1">
        <f t="shared" si="8"/>
        <v>0.946590909090909</v>
      </c>
      <c r="C203" s="19">
        <v>1999</v>
      </c>
      <c r="D203" s="19"/>
      <c r="E203" s="27">
        <f t="shared" si="10"/>
        <v>6.243457382953181</v>
      </c>
      <c r="F203" s="27">
        <f t="shared" si="11"/>
        <v>4.0038415366146465</v>
      </c>
      <c r="G203" s="27">
        <f t="shared" si="12"/>
        <v>4.13061224489796</v>
      </c>
      <c r="H203" s="29">
        <f t="shared" si="13"/>
        <v>15.170228091236496</v>
      </c>
      <c r="I203" s="27">
        <v>5.91</v>
      </c>
      <c r="J203" s="27">
        <v>3.79</v>
      </c>
      <c r="K203" s="27">
        <v>3.91</v>
      </c>
      <c r="L203" s="29">
        <v>14.36</v>
      </c>
      <c r="M203" s="27"/>
      <c r="N203" s="31">
        <v>166.6</v>
      </c>
    </row>
    <row r="204" spans="2:14" ht="0.75" customHeight="1">
      <c r="B204" s="1">
        <f t="shared" si="8"/>
        <v>1</v>
      </c>
      <c r="C204" s="19">
        <v>2000</v>
      </c>
      <c r="D204" s="19"/>
      <c r="E204" s="27">
        <f t="shared" si="10"/>
        <v>7.6</v>
      </c>
      <c r="F204" s="27">
        <f t="shared" si="11"/>
        <v>5.82</v>
      </c>
      <c r="G204" s="27">
        <f t="shared" si="12"/>
        <v>5.71</v>
      </c>
      <c r="H204" s="29">
        <f t="shared" si="13"/>
        <v>14.72</v>
      </c>
      <c r="I204" s="28">
        <v>7.6</v>
      </c>
      <c r="J204" s="28">
        <v>5.82</v>
      </c>
      <c r="K204" s="28">
        <v>5.71</v>
      </c>
      <c r="L204" s="30">
        <v>14.72</v>
      </c>
      <c r="M204" s="27"/>
      <c r="N204" s="31">
        <v>176</v>
      </c>
    </row>
    <row r="205" spans="2:14" ht="0.75" customHeight="1">
      <c r="B205" s="1"/>
      <c r="C205" s="19">
        <v>2001</v>
      </c>
      <c r="D205" s="19"/>
      <c r="E205" s="27"/>
      <c r="F205" s="27"/>
      <c r="G205" s="27"/>
      <c r="H205" s="27"/>
      <c r="I205" s="27"/>
      <c r="N205" s="8"/>
    </row>
    <row r="206" spans="3:9" ht="0.75" customHeight="1">
      <c r="C206" s="19">
        <v>2002</v>
      </c>
      <c r="D206" s="19"/>
      <c r="E206" s="27"/>
      <c r="F206" s="27"/>
      <c r="G206" s="27"/>
      <c r="H206" s="27"/>
      <c r="I206" s="27"/>
    </row>
    <row r="207" spans="3:9" ht="0.75" customHeight="1">
      <c r="C207" s="19">
        <v>2003</v>
      </c>
      <c r="D207" s="19"/>
      <c r="E207" s="27"/>
      <c r="F207" s="27"/>
      <c r="G207" s="27"/>
      <c r="H207" s="27"/>
      <c r="I207" s="27"/>
    </row>
    <row r="208" spans="3:9" ht="0.75" customHeight="1">
      <c r="C208" s="19">
        <v>2004</v>
      </c>
      <c r="D208" s="19"/>
      <c r="E208" s="27"/>
      <c r="F208" s="27"/>
      <c r="G208" s="27"/>
      <c r="H208" s="27"/>
      <c r="I208" s="27"/>
    </row>
    <row r="209" spans="3:9" ht="0.75" customHeight="1">
      <c r="C209" s="19">
        <v>2005</v>
      </c>
      <c r="D209" s="19"/>
      <c r="E209" s="27"/>
      <c r="F209" s="27"/>
      <c r="G209" s="27"/>
      <c r="H209" s="27"/>
      <c r="I209" s="27"/>
    </row>
    <row r="210" spans="3:9" ht="0.75" customHeight="1">
      <c r="C210" s="19">
        <v>2006</v>
      </c>
      <c r="D210" s="19"/>
      <c r="E210" s="27"/>
      <c r="F210" s="27"/>
      <c r="G210" s="27"/>
      <c r="H210" s="27"/>
      <c r="I210" s="27"/>
    </row>
    <row r="211" spans="3:9" ht="0.75" customHeight="1">
      <c r="C211" s="19">
        <v>2007</v>
      </c>
      <c r="D211" s="19"/>
      <c r="E211" s="27"/>
      <c r="F211" s="27"/>
      <c r="G211" s="27"/>
      <c r="H211" s="27"/>
      <c r="I211" s="27"/>
    </row>
    <row r="212" spans="3:9" ht="0.75" customHeight="1">
      <c r="C212" s="19">
        <v>2008</v>
      </c>
      <c r="D212" s="19"/>
      <c r="E212" s="27"/>
      <c r="F212" s="27"/>
      <c r="G212" s="27"/>
      <c r="H212" s="27"/>
      <c r="I212" s="27"/>
    </row>
    <row r="213" spans="3:9" ht="0.75" customHeight="1">
      <c r="C213" s="19">
        <v>2009</v>
      </c>
      <c r="D213" s="19"/>
      <c r="E213" s="27"/>
      <c r="F213" s="27"/>
      <c r="G213" s="27"/>
      <c r="H213" s="27"/>
      <c r="I213" s="27"/>
    </row>
    <row r="214" spans="3:9" ht="0.75" customHeight="1">
      <c r="C214" s="19">
        <v>2010</v>
      </c>
      <c r="D214" s="19"/>
      <c r="E214" s="27"/>
      <c r="F214" s="27"/>
      <c r="G214" s="27"/>
      <c r="H214" s="27"/>
      <c r="I214" s="27"/>
    </row>
    <row r="215" spans="3:4" ht="12.75" thickBot="1">
      <c r="C215" s="8"/>
      <c r="D215" s="8"/>
    </row>
    <row r="216" spans="5:9" ht="15" thickBot="1">
      <c r="E216" s="25"/>
      <c r="F216" s="37"/>
      <c r="G216" s="26" t="s">
        <v>47</v>
      </c>
      <c r="H216" s="37"/>
      <c r="I216" s="47"/>
    </row>
    <row r="217" ht="0.75" customHeight="1"/>
    <row r="218" spans="3:13" ht="0.75" customHeight="1">
      <c r="C218" s="2" t="s">
        <v>51</v>
      </c>
      <c r="D218" s="2" t="s">
        <v>53</v>
      </c>
      <c r="E218" s="2" t="s">
        <v>13</v>
      </c>
      <c r="F218" s="2" t="s">
        <v>52</v>
      </c>
      <c r="G218" s="2" t="s">
        <v>48</v>
      </c>
      <c r="H218" s="2" t="s">
        <v>49</v>
      </c>
      <c r="I218" s="2" t="s">
        <v>50</v>
      </c>
      <c r="J218" s="2" t="s">
        <v>12</v>
      </c>
      <c r="K218" s="1" t="s">
        <v>54</v>
      </c>
      <c r="L218" s="1" t="s">
        <v>55</v>
      </c>
      <c r="M218" s="1" t="s">
        <v>56</v>
      </c>
    </row>
    <row r="219" spans="2:13" ht="0.75" customHeight="1">
      <c r="B219" s="19">
        <v>1973</v>
      </c>
      <c r="C219" s="32">
        <v>9208</v>
      </c>
      <c r="D219" s="32">
        <v>10975</v>
      </c>
      <c r="E219" s="32">
        <f aca="true" t="shared" si="14" ref="E219:E246">I219-J219</f>
        <v>6025</v>
      </c>
      <c r="F219" s="32">
        <f>SUM(D219:E219)</f>
        <v>17000</v>
      </c>
      <c r="G219" s="32">
        <v>848</v>
      </c>
      <c r="H219" s="32">
        <v>2993</v>
      </c>
      <c r="I219" s="32">
        <v>6256</v>
      </c>
      <c r="J219" s="32">
        <v>231</v>
      </c>
      <c r="K219" s="34">
        <f>E219/F219</f>
        <v>0.35441176470588237</v>
      </c>
      <c r="L219" s="34">
        <f>H219/F219</f>
        <v>0.17605882352941177</v>
      </c>
      <c r="M219" s="17">
        <f>G219/F219</f>
        <v>0.04988235294117647</v>
      </c>
    </row>
    <row r="220" spans="2:13" ht="0.75" customHeight="1">
      <c r="B220" s="19">
        <v>1974</v>
      </c>
      <c r="C220" s="32">
        <v>8774</v>
      </c>
      <c r="D220" s="32">
        <v>10498</v>
      </c>
      <c r="E220" s="32">
        <f t="shared" si="14"/>
        <v>5891</v>
      </c>
      <c r="F220" s="32">
        <f aca="true" t="shared" si="15" ref="F220:F246">SUM(D220:E220)</f>
        <v>16389</v>
      </c>
      <c r="G220" s="32">
        <v>1039</v>
      </c>
      <c r="H220" s="32">
        <v>3280</v>
      </c>
      <c r="I220" s="32">
        <v>6112</v>
      </c>
      <c r="J220" s="32">
        <v>221</v>
      </c>
      <c r="K220" s="34">
        <f aca="true" t="shared" si="16" ref="K220:K246">E220/F220</f>
        <v>0.3594484105192507</v>
      </c>
      <c r="L220" s="34">
        <f aca="true" t="shared" si="17" ref="L220:L246">H220/F220</f>
        <v>0.20013423637805847</v>
      </c>
      <c r="M220" s="17">
        <f aca="true" t="shared" si="18" ref="M220:M246">G220/F220</f>
        <v>0.06339618036487889</v>
      </c>
    </row>
    <row r="221" spans="2:13" ht="0.75" customHeight="1">
      <c r="B221" s="19">
        <v>1975</v>
      </c>
      <c r="C221" s="32">
        <v>8375</v>
      </c>
      <c r="D221" s="32">
        <v>10045</v>
      </c>
      <c r="E221" s="32">
        <f t="shared" si="14"/>
        <v>5847</v>
      </c>
      <c r="F221" s="32">
        <f t="shared" si="15"/>
        <v>15892</v>
      </c>
      <c r="G221" s="32">
        <v>1165</v>
      </c>
      <c r="H221" s="32">
        <v>3601</v>
      </c>
      <c r="I221" s="32">
        <v>6056</v>
      </c>
      <c r="J221" s="32">
        <v>209</v>
      </c>
      <c r="K221" s="34">
        <f t="shared" si="16"/>
        <v>0.3679209665240373</v>
      </c>
      <c r="L221" s="34">
        <f t="shared" si="17"/>
        <v>0.2265919959728165</v>
      </c>
      <c r="M221" s="17">
        <f t="shared" si="18"/>
        <v>0.07330732443996979</v>
      </c>
    </row>
    <row r="222" spans="2:13" ht="0.75" customHeight="1">
      <c r="B222" s="19">
        <v>1976</v>
      </c>
      <c r="C222" s="32">
        <v>8132</v>
      </c>
      <c r="D222" s="32">
        <v>9774</v>
      </c>
      <c r="E222" s="32">
        <f t="shared" si="14"/>
        <v>7090</v>
      </c>
      <c r="F222" s="32">
        <f t="shared" si="15"/>
        <v>16864</v>
      </c>
      <c r="G222" s="32">
        <v>1840</v>
      </c>
      <c r="H222" s="32">
        <v>5066</v>
      </c>
      <c r="I222" s="32">
        <v>7313</v>
      </c>
      <c r="J222" s="32">
        <v>223</v>
      </c>
      <c r="K222" s="34">
        <f t="shared" si="16"/>
        <v>0.4204222011385199</v>
      </c>
      <c r="L222" s="34">
        <f t="shared" si="17"/>
        <v>0.3004032258064516</v>
      </c>
      <c r="M222" s="17">
        <f t="shared" si="18"/>
        <v>0.10910815939278938</v>
      </c>
    </row>
    <row r="223" spans="2:13" ht="0.75" customHeight="1">
      <c r="B223" s="19">
        <v>1977</v>
      </c>
      <c r="C223" s="32">
        <v>8245</v>
      </c>
      <c r="D223" s="32">
        <v>9913</v>
      </c>
      <c r="E223" s="32">
        <f t="shared" si="14"/>
        <v>8564</v>
      </c>
      <c r="F223" s="32">
        <f t="shared" si="15"/>
        <v>18477</v>
      </c>
      <c r="G223" s="32">
        <v>2448</v>
      </c>
      <c r="H223" s="32">
        <v>6193</v>
      </c>
      <c r="I223" s="32">
        <v>8807</v>
      </c>
      <c r="J223" s="32">
        <v>243</v>
      </c>
      <c r="K223" s="34">
        <f t="shared" si="16"/>
        <v>0.46349515614006603</v>
      </c>
      <c r="L223" s="34">
        <f t="shared" si="17"/>
        <v>0.33517345889484224</v>
      </c>
      <c r="M223" s="17">
        <f t="shared" si="18"/>
        <v>0.13248904042864101</v>
      </c>
    </row>
    <row r="224" spans="2:13" ht="0.75" customHeight="1">
      <c r="B224" s="19">
        <v>1978</v>
      </c>
      <c r="C224" s="32">
        <v>8707</v>
      </c>
      <c r="D224" s="32">
        <v>10328</v>
      </c>
      <c r="E224" s="32">
        <f t="shared" si="14"/>
        <v>8001</v>
      </c>
      <c r="F224" s="32">
        <f t="shared" si="15"/>
        <v>18329</v>
      </c>
      <c r="G224" s="32">
        <v>2219</v>
      </c>
      <c r="H224" s="32">
        <v>5751</v>
      </c>
      <c r="I224" s="32">
        <v>8363</v>
      </c>
      <c r="J224" s="32">
        <v>362</v>
      </c>
      <c r="K224" s="34">
        <f t="shared" si="16"/>
        <v>0.4365213595940859</v>
      </c>
      <c r="L224" s="34">
        <f t="shared" si="17"/>
        <v>0.31376507174423046</v>
      </c>
      <c r="M224" s="17">
        <f t="shared" si="18"/>
        <v>0.1210649789950352</v>
      </c>
    </row>
    <row r="225" spans="2:13" ht="0.75" customHeight="1">
      <c r="B225" s="19">
        <v>1979</v>
      </c>
      <c r="C225" s="32">
        <v>8552</v>
      </c>
      <c r="D225" s="32">
        <v>10179</v>
      </c>
      <c r="E225" s="32">
        <f t="shared" si="14"/>
        <v>7985</v>
      </c>
      <c r="F225" s="32">
        <f t="shared" si="15"/>
        <v>18164</v>
      </c>
      <c r="G225" s="32">
        <v>2069</v>
      </c>
      <c r="H225" s="32">
        <v>5637</v>
      </c>
      <c r="I225" s="32">
        <v>8456</v>
      </c>
      <c r="J225" s="32">
        <v>471</v>
      </c>
      <c r="K225" s="34">
        <f t="shared" si="16"/>
        <v>0.43960581369742346</v>
      </c>
      <c r="L225" s="34">
        <f t="shared" si="17"/>
        <v>0.31033913234970273</v>
      </c>
      <c r="M225" s="17">
        <f t="shared" si="18"/>
        <v>0.113906628495926</v>
      </c>
    </row>
    <row r="226" spans="2:13" ht="0.75" customHeight="1">
      <c r="B226" s="19">
        <v>1980</v>
      </c>
      <c r="C226" s="32">
        <v>8597</v>
      </c>
      <c r="D226" s="32">
        <v>10024</v>
      </c>
      <c r="E226" s="32">
        <f t="shared" si="14"/>
        <v>6365</v>
      </c>
      <c r="F226" s="32">
        <f t="shared" si="15"/>
        <v>16389</v>
      </c>
      <c r="G226" s="32">
        <v>1519</v>
      </c>
      <c r="H226" s="32">
        <v>4300</v>
      </c>
      <c r="I226" s="32">
        <v>6909</v>
      </c>
      <c r="J226" s="32">
        <v>544</v>
      </c>
      <c r="K226" s="34">
        <f t="shared" si="16"/>
        <v>0.3883702483372994</v>
      </c>
      <c r="L226" s="34">
        <f t="shared" si="17"/>
        <v>0.26237110256879614</v>
      </c>
      <c r="M226" s="17">
        <f t="shared" si="18"/>
        <v>0.09268411739581427</v>
      </c>
    </row>
    <row r="227" spans="2:13" ht="0.75" customHeight="1">
      <c r="B227" s="19">
        <v>1981</v>
      </c>
      <c r="C227" s="32">
        <v>8572</v>
      </c>
      <c r="D227" s="32">
        <v>10230</v>
      </c>
      <c r="E227" s="32">
        <f t="shared" si="14"/>
        <v>5401</v>
      </c>
      <c r="F227" s="32">
        <f t="shared" si="15"/>
        <v>15631</v>
      </c>
      <c r="G227" s="32">
        <v>1219</v>
      </c>
      <c r="H227" s="32">
        <v>3323</v>
      </c>
      <c r="I227" s="32">
        <v>5996</v>
      </c>
      <c r="J227" s="32">
        <v>595</v>
      </c>
      <c r="K227" s="34">
        <f t="shared" si="16"/>
        <v>0.34553131597466574</v>
      </c>
      <c r="L227" s="34">
        <f t="shared" si="17"/>
        <v>0.21259036529972491</v>
      </c>
      <c r="M227" s="17">
        <f t="shared" si="18"/>
        <v>0.07798605335551148</v>
      </c>
    </row>
    <row r="228" spans="2:13" ht="0.75" customHeight="1">
      <c r="B228" s="19">
        <v>1982</v>
      </c>
      <c r="C228" s="32">
        <v>8649</v>
      </c>
      <c r="D228" s="32">
        <v>10252</v>
      </c>
      <c r="E228" s="32">
        <f t="shared" si="14"/>
        <v>4298</v>
      </c>
      <c r="F228" s="32">
        <f t="shared" si="15"/>
        <v>14550</v>
      </c>
      <c r="G228" s="32">
        <v>696</v>
      </c>
      <c r="H228" s="32">
        <v>2146</v>
      </c>
      <c r="I228" s="32">
        <v>5113</v>
      </c>
      <c r="J228" s="32">
        <v>815</v>
      </c>
      <c r="K228" s="34">
        <f t="shared" si="16"/>
        <v>0.2953951890034364</v>
      </c>
      <c r="L228" s="34">
        <f t="shared" si="17"/>
        <v>0.1474914089347079</v>
      </c>
      <c r="M228" s="17">
        <f t="shared" si="18"/>
        <v>0.047835051546391755</v>
      </c>
    </row>
    <row r="229" spans="2:13" ht="0.75" customHeight="1">
      <c r="B229" s="19">
        <v>1983</v>
      </c>
      <c r="C229" s="32">
        <v>8688</v>
      </c>
      <c r="D229" s="32">
        <v>10299</v>
      </c>
      <c r="E229" s="32">
        <f t="shared" si="14"/>
        <v>4312</v>
      </c>
      <c r="F229" s="32">
        <f t="shared" si="15"/>
        <v>14611</v>
      </c>
      <c r="G229" s="32">
        <v>442</v>
      </c>
      <c r="H229" s="32">
        <v>1862</v>
      </c>
      <c r="I229" s="32">
        <v>5051</v>
      </c>
      <c r="J229" s="32">
        <v>739</v>
      </c>
      <c r="K229" s="34">
        <f t="shared" si="16"/>
        <v>0.29512011498186297</v>
      </c>
      <c r="L229" s="34">
        <f t="shared" si="17"/>
        <v>0.12743823146944083</v>
      </c>
      <c r="M229" s="17">
        <f t="shared" si="18"/>
        <v>0.0302511806173431</v>
      </c>
    </row>
    <row r="230" spans="2:13" ht="0.75" customHeight="1">
      <c r="B230" s="19">
        <v>1984</v>
      </c>
      <c r="C230" s="32">
        <v>8879</v>
      </c>
      <c r="D230" s="32">
        <v>10554</v>
      </c>
      <c r="E230" s="32">
        <f t="shared" si="14"/>
        <v>4715</v>
      </c>
      <c r="F230" s="32">
        <f t="shared" si="15"/>
        <v>15269</v>
      </c>
      <c r="G230" s="32">
        <v>506</v>
      </c>
      <c r="H230" s="32">
        <v>2049</v>
      </c>
      <c r="I230" s="32">
        <v>5437</v>
      </c>
      <c r="J230" s="32">
        <v>722</v>
      </c>
      <c r="K230" s="34">
        <f t="shared" si="16"/>
        <v>0.30879559892592834</v>
      </c>
      <c r="L230" s="34">
        <f t="shared" si="17"/>
        <v>0.1341934638810662</v>
      </c>
      <c r="M230" s="17">
        <f t="shared" si="18"/>
        <v>0.033139039884733774</v>
      </c>
    </row>
    <row r="231" spans="2:13" ht="0.75" customHeight="1">
      <c r="B231" s="19">
        <v>1985</v>
      </c>
      <c r="C231" s="32">
        <v>8971</v>
      </c>
      <c r="D231" s="32">
        <v>10636</v>
      </c>
      <c r="E231" s="32">
        <f t="shared" si="14"/>
        <v>4286</v>
      </c>
      <c r="F231" s="32">
        <f t="shared" si="15"/>
        <v>14922</v>
      </c>
      <c r="G231" s="32">
        <v>311</v>
      </c>
      <c r="H231" s="32">
        <v>1830</v>
      </c>
      <c r="I231" s="32">
        <v>5067</v>
      </c>
      <c r="J231" s="32">
        <v>781</v>
      </c>
      <c r="K231" s="34">
        <f t="shared" si="16"/>
        <v>0.2872269132824018</v>
      </c>
      <c r="L231" s="34">
        <f t="shared" si="17"/>
        <v>0.12263771612384398</v>
      </c>
      <c r="M231" s="17">
        <f t="shared" si="18"/>
        <v>0.02084171022651119</v>
      </c>
    </row>
    <row r="232" spans="2:13" ht="0.75" customHeight="1">
      <c r="B232" s="19">
        <v>1986</v>
      </c>
      <c r="C232" s="32">
        <v>8680</v>
      </c>
      <c r="D232" s="32">
        <v>10289</v>
      </c>
      <c r="E232" s="32">
        <f t="shared" si="14"/>
        <v>5439</v>
      </c>
      <c r="F232" s="32">
        <f t="shared" si="15"/>
        <v>15728</v>
      </c>
      <c r="G232" s="32">
        <v>912</v>
      </c>
      <c r="H232" s="32">
        <v>2837</v>
      </c>
      <c r="I232" s="32">
        <v>6224</v>
      </c>
      <c r="J232" s="32">
        <v>785</v>
      </c>
      <c r="K232" s="34">
        <f t="shared" si="16"/>
        <v>0.34581637843336727</v>
      </c>
      <c r="L232" s="34">
        <f t="shared" si="17"/>
        <v>0.18037894201424212</v>
      </c>
      <c r="M232" s="17">
        <f t="shared" si="18"/>
        <v>0.05798575788402848</v>
      </c>
    </row>
    <row r="233" spans="2:13" ht="0.75" customHeight="1">
      <c r="B233" s="19">
        <v>1987</v>
      </c>
      <c r="C233" s="32">
        <v>8349</v>
      </c>
      <c r="D233" s="32">
        <v>10008</v>
      </c>
      <c r="E233" s="32">
        <f t="shared" si="14"/>
        <v>5914</v>
      </c>
      <c r="F233" s="32">
        <f t="shared" si="15"/>
        <v>15922</v>
      </c>
      <c r="G233" s="32">
        <v>1077</v>
      </c>
      <c r="H233" s="32">
        <v>3060</v>
      </c>
      <c r="I233" s="32">
        <v>6678</v>
      </c>
      <c r="J233" s="32">
        <v>764</v>
      </c>
      <c r="K233" s="34">
        <f t="shared" si="16"/>
        <v>0.37143574927772893</v>
      </c>
      <c r="L233" s="34">
        <f t="shared" si="17"/>
        <v>0.1921869111920613</v>
      </c>
      <c r="M233" s="17">
        <f t="shared" si="18"/>
        <v>0.0676422559979902</v>
      </c>
    </row>
    <row r="234" spans="2:13" ht="0.75" customHeight="1">
      <c r="B234" s="19">
        <v>1988</v>
      </c>
      <c r="C234" s="32">
        <v>8140</v>
      </c>
      <c r="D234" s="32">
        <v>9818</v>
      </c>
      <c r="E234" s="32">
        <f t="shared" si="14"/>
        <v>6587</v>
      </c>
      <c r="F234" s="32">
        <f t="shared" si="15"/>
        <v>16405</v>
      </c>
      <c r="G234" s="32">
        <v>1541</v>
      </c>
      <c r="H234" s="32">
        <v>3520</v>
      </c>
      <c r="I234" s="32">
        <v>7402</v>
      </c>
      <c r="J234" s="32">
        <v>815</v>
      </c>
      <c r="K234" s="34">
        <f t="shared" si="16"/>
        <v>0.4015239256324291</v>
      </c>
      <c r="L234" s="34">
        <f t="shared" si="17"/>
        <v>0.21456872904602256</v>
      </c>
      <c r="M234" s="17">
        <f t="shared" si="18"/>
        <v>0.09393477598293204</v>
      </c>
    </row>
    <row r="235" spans="2:13" ht="0.75" customHeight="1">
      <c r="B235" s="19">
        <v>1989</v>
      </c>
      <c r="C235" s="32">
        <v>7613</v>
      </c>
      <c r="D235" s="32">
        <v>9219</v>
      </c>
      <c r="E235" s="32">
        <f t="shared" si="14"/>
        <v>7202</v>
      </c>
      <c r="F235" s="32">
        <f t="shared" si="15"/>
        <v>16421</v>
      </c>
      <c r="G235" s="32">
        <v>1861</v>
      </c>
      <c r="H235" s="32">
        <v>4140</v>
      </c>
      <c r="I235" s="32">
        <v>8061</v>
      </c>
      <c r="J235" s="32">
        <v>859</v>
      </c>
      <c r="K235" s="34">
        <f t="shared" si="16"/>
        <v>0.4385847390536508</v>
      </c>
      <c r="L235" s="34">
        <f t="shared" si="17"/>
        <v>0.25211619268010477</v>
      </c>
      <c r="M235" s="17">
        <f t="shared" si="18"/>
        <v>0.11333049144388284</v>
      </c>
    </row>
    <row r="236" spans="2:13" ht="0.75" customHeight="1">
      <c r="B236" s="19">
        <v>1990</v>
      </c>
      <c r="C236" s="32">
        <v>7355</v>
      </c>
      <c r="D236" s="32">
        <v>8994</v>
      </c>
      <c r="E236" s="32">
        <f t="shared" si="14"/>
        <v>7161</v>
      </c>
      <c r="F236" s="32">
        <f t="shared" si="15"/>
        <v>16155</v>
      </c>
      <c r="G236" s="32">
        <v>1966</v>
      </c>
      <c r="H236" s="32">
        <v>4296</v>
      </c>
      <c r="I236" s="32">
        <v>8018</v>
      </c>
      <c r="J236" s="32">
        <v>857</v>
      </c>
      <c r="K236" s="34">
        <f t="shared" si="16"/>
        <v>0.44326833797585885</v>
      </c>
      <c r="L236" s="34">
        <f t="shared" si="17"/>
        <v>0.2659238625812442</v>
      </c>
      <c r="M236" s="17">
        <f t="shared" si="18"/>
        <v>0.12169606932838131</v>
      </c>
    </row>
    <row r="237" spans="2:13" ht="0.75" customHeight="1">
      <c r="B237" s="19">
        <v>1991</v>
      </c>
      <c r="C237" s="32">
        <v>7417</v>
      </c>
      <c r="D237" s="32">
        <v>9168</v>
      </c>
      <c r="E237" s="32">
        <f t="shared" si="14"/>
        <v>6626</v>
      </c>
      <c r="F237" s="32">
        <f t="shared" si="15"/>
        <v>15794</v>
      </c>
      <c r="G237" s="32">
        <v>1845</v>
      </c>
      <c r="H237" s="32">
        <v>4092</v>
      </c>
      <c r="I237" s="32">
        <v>7627</v>
      </c>
      <c r="J237" s="32">
        <v>1001</v>
      </c>
      <c r="K237" s="34">
        <f t="shared" si="16"/>
        <v>0.419526402431303</v>
      </c>
      <c r="L237" s="34">
        <f t="shared" si="17"/>
        <v>0.2590857287577561</v>
      </c>
      <c r="M237" s="17">
        <f t="shared" si="18"/>
        <v>0.11681651259972141</v>
      </c>
    </row>
    <row r="238" spans="2:13" ht="0.75" customHeight="1">
      <c r="B238" s="19">
        <v>1992</v>
      </c>
      <c r="C238" s="32">
        <v>7171</v>
      </c>
      <c r="D238" s="32">
        <v>8996</v>
      </c>
      <c r="E238" s="32">
        <f t="shared" si="14"/>
        <v>6938</v>
      </c>
      <c r="F238" s="32">
        <f t="shared" si="15"/>
        <v>15934</v>
      </c>
      <c r="G238" s="32">
        <v>1778</v>
      </c>
      <c r="H238" s="32">
        <v>4092</v>
      </c>
      <c r="I238" s="32">
        <v>7888</v>
      </c>
      <c r="J238" s="32">
        <v>950</v>
      </c>
      <c r="K238" s="34">
        <f t="shared" si="16"/>
        <v>0.43542111208736034</v>
      </c>
      <c r="L238" s="34">
        <f t="shared" si="17"/>
        <v>0.25680933852140075</v>
      </c>
      <c r="M238" s="17">
        <f t="shared" si="18"/>
        <v>0.11158528931843856</v>
      </c>
    </row>
    <row r="239" spans="2:13" ht="0.75" customHeight="1">
      <c r="B239" s="19">
        <v>1993</v>
      </c>
      <c r="C239" s="32">
        <v>6847</v>
      </c>
      <c r="D239" s="32">
        <v>8836</v>
      </c>
      <c r="E239" s="32">
        <f t="shared" si="14"/>
        <v>7617</v>
      </c>
      <c r="F239" s="32">
        <f t="shared" si="15"/>
        <v>16453</v>
      </c>
      <c r="G239" s="32">
        <v>1782</v>
      </c>
      <c r="H239" s="32">
        <v>4273</v>
      </c>
      <c r="I239" s="32">
        <v>8620</v>
      </c>
      <c r="J239" s="32">
        <v>1003</v>
      </c>
      <c r="K239" s="34">
        <f t="shared" si="16"/>
        <v>0.462955084179177</v>
      </c>
      <c r="L239" s="34">
        <f t="shared" si="17"/>
        <v>0.25970947547559714</v>
      </c>
      <c r="M239" s="17">
        <f t="shared" si="18"/>
        <v>0.1083085151644077</v>
      </c>
    </row>
    <row r="240" spans="2:13" ht="0.75" customHeight="1">
      <c r="B240" s="19">
        <v>1994</v>
      </c>
      <c r="C240" s="32">
        <v>6662</v>
      </c>
      <c r="D240" s="32">
        <v>8645</v>
      </c>
      <c r="E240" s="32">
        <f t="shared" si="14"/>
        <v>8054</v>
      </c>
      <c r="F240" s="32">
        <f t="shared" si="15"/>
        <v>16699</v>
      </c>
      <c r="G240" s="32">
        <v>1728</v>
      </c>
      <c r="H240" s="32">
        <v>4247</v>
      </c>
      <c r="I240" s="32">
        <v>8996</v>
      </c>
      <c r="J240" s="32">
        <v>942</v>
      </c>
      <c r="K240" s="34">
        <f t="shared" si="16"/>
        <v>0.4823043296005749</v>
      </c>
      <c r="L240" s="34">
        <f t="shared" si="17"/>
        <v>0.25432660638361576</v>
      </c>
      <c r="M240" s="17">
        <f t="shared" si="18"/>
        <v>0.10347925025450626</v>
      </c>
    </row>
    <row r="241" spans="2:13" ht="0.75" customHeight="1">
      <c r="B241" s="19">
        <v>1995</v>
      </c>
      <c r="C241" s="32">
        <v>6560</v>
      </c>
      <c r="D241" s="32">
        <v>8626</v>
      </c>
      <c r="E241" s="32">
        <f t="shared" si="14"/>
        <v>7886</v>
      </c>
      <c r="F241" s="32">
        <f t="shared" si="15"/>
        <v>16512</v>
      </c>
      <c r="G241" s="32">
        <v>1573</v>
      </c>
      <c r="H241" s="32">
        <v>4002</v>
      </c>
      <c r="I241" s="32">
        <v>8835</v>
      </c>
      <c r="J241" s="32">
        <v>949</v>
      </c>
      <c r="K241" s="34">
        <f t="shared" si="16"/>
        <v>0.4775920542635659</v>
      </c>
      <c r="L241" s="34">
        <f t="shared" si="17"/>
        <v>0.24236918604651161</v>
      </c>
      <c r="M241" s="17">
        <f t="shared" si="18"/>
        <v>0.0952640503875969</v>
      </c>
    </row>
    <row r="242" spans="2:13" ht="0.75" customHeight="1">
      <c r="B242" s="19">
        <v>1996</v>
      </c>
      <c r="C242" s="32">
        <v>6465</v>
      </c>
      <c r="D242" s="32">
        <v>8607</v>
      </c>
      <c r="E242" s="32">
        <f t="shared" si="14"/>
        <v>8497</v>
      </c>
      <c r="F242" s="32">
        <f t="shared" si="15"/>
        <v>17104</v>
      </c>
      <c r="G242" s="32">
        <v>1604</v>
      </c>
      <c r="H242" s="32">
        <v>4211</v>
      </c>
      <c r="I242" s="32">
        <v>9478</v>
      </c>
      <c r="J242" s="32">
        <v>981</v>
      </c>
      <c r="K242" s="34">
        <f t="shared" si="16"/>
        <v>0.4967843779232928</v>
      </c>
      <c r="L242" s="34">
        <f t="shared" si="17"/>
        <v>0.24619971936389148</v>
      </c>
      <c r="M242" s="17">
        <f t="shared" si="18"/>
        <v>0.09377923292797007</v>
      </c>
    </row>
    <row r="243" spans="2:13" ht="0.75" customHeight="1">
      <c r="B243" s="19">
        <v>1997</v>
      </c>
      <c r="C243" s="32">
        <v>6452</v>
      </c>
      <c r="D243" s="32">
        <v>8611</v>
      </c>
      <c r="E243" s="32">
        <f t="shared" si="14"/>
        <v>9159</v>
      </c>
      <c r="F243" s="32">
        <f t="shared" si="15"/>
        <v>17770</v>
      </c>
      <c r="G243" s="32">
        <v>1755</v>
      </c>
      <c r="H243" s="32">
        <v>4569</v>
      </c>
      <c r="I243" s="32">
        <v>10162</v>
      </c>
      <c r="J243" s="32">
        <v>1003</v>
      </c>
      <c r="K243" s="34">
        <f t="shared" si="16"/>
        <v>0.51541924592009</v>
      </c>
      <c r="L243" s="34">
        <f t="shared" si="17"/>
        <v>0.2571187394485087</v>
      </c>
      <c r="M243" s="17">
        <f t="shared" si="18"/>
        <v>0.09876195835678109</v>
      </c>
    </row>
    <row r="244" spans="2:13" ht="0.75" customHeight="1">
      <c r="B244" s="19">
        <v>1998</v>
      </c>
      <c r="C244" s="32">
        <v>6252</v>
      </c>
      <c r="D244" s="32">
        <v>8392</v>
      </c>
      <c r="E244" s="32">
        <f t="shared" si="14"/>
        <v>9763</v>
      </c>
      <c r="F244" s="32">
        <f t="shared" si="15"/>
        <v>18155</v>
      </c>
      <c r="G244" s="32">
        <v>2136</v>
      </c>
      <c r="H244" s="32">
        <v>4905</v>
      </c>
      <c r="I244" s="32">
        <v>10708</v>
      </c>
      <c r="J244" s="32">
        <v>945</v>
      </c>
      <c r="K244" s="34">
        <f t="shared" si="16"/>
        <v>0.5377581933351694</v>
      </c>
      <c r="L244" s="34">
        <f t="shared" si="17"/>
        <v>0.27017350592123385</v>
      </c>
      <c r="M244" s="17">
        <f t="shared" si="18"/>
        <v>0.11765353896998072</v>
      </c>
    </row>
    <row r="245" spans="2:13" ht="0.75" customHeight="1">
      <c r="B245" s="19">
        <v>1999</v>
      </c>
      <c r="C245" s="32">
        <v>5881</v>
      </c>
      <c r="D245" s="32">
        <v>8107</v>
      </c>
      <c r="E245" s="32">
        <f t="shared" si="14"/>
        <v>9912</v>
      </c>
      <c r="F245" s="32">
        <f t="shared" si="15"/>
        <v>18019</v>
      </c>
      <c r="G245" s="32">
        <v>2464</v>
      </c>
      <c r="H245" s="32">
        <v>4953</v>
      </c>
      <c r="I245" s="32">
        <v>10852</v>
      </c>
      <c r="J245" s="32">
        <v>940</v>
      </c>
      <c r="K245" s="34">
        <f t="shared" si="16"/>
        <v>0.550086020311893</v>
      </c>
      <c r="L245" s="34">
        <f t="shared" si="17"/>
        <v>0.27487651922970197</v>
      </c>
      <c r="M245" s="17">
        <f t="shared" si="18"/>
        <v>0.1367445474221655</v>
      </c>
    </row>
    <row r="246" spans="2:13" ht="0.75" customHeight="1">
      <c r="B246" s="19">
        <v>2000</v>
      </c>
      <c r="C246" s="32">
        <v>5839</v>
      </c>
      <c r="D246" s="32">
        <v>8172</v>
      </c>
      <c r="E246" s="32">
        <f t="shared" si="14"/>
        <v>10900.363636363636</v>
      </c>
      <c r="F246" s="32">
        <f t="shared" si="15"/>
        <v>19072.363636363636</v>
      </c>
      <c r="G246" s="33">
        <f>2440/(11/12)</f>
        <v>2661.818181818182</v>
      </c>
      <c r="H246" s="33">
        <f>5097/(11/12)</f>
        <v>5560.363636363637</v>
      </c>
      <c r="I246" s="33">
        <f>11027/(11/12)</f>
        <v>12029.454545454546</v>
      </c>
      <c r="J246" s="33">
        <f>1035/(11/12)</f>
        <v>1129.0909090909092</v>
      </c>
      <c r="K246" s="34">
        <f t="shared" si="16"/>
        <v>0.5715266258651261</v>
      </c>
      <c r="L246" s="34">
        <f t="shared" si="17"/>
        <v>0.2915403534862438</v>
      </c>
      <c r="M246" s="17">
        <f t="shared" si="18"/>
        <v>0.1395641480295144</v>
      </c>
    </row>
    <row r="247" spans="2:11" ht="0.75" customHeight="1">
      <c r="B247" s="19">
        <v>2001</v>
      </c>
      <c r="G247" s="32"/>
      <c r="H247" s="32"/>
      <c r="I247" s="32"/>
      <c r="J247" s="32"/>
      <c r="K247" s="32"/>
    </row>
    <row r="248" spans="2:9" ht="0.75" customHeight="1">
      <c r="B248" s="19">
        <v>2002</v>
      </c>
      <c r="C248" s="32"/>
      <c r="D248" s="32"/>
      <c r="E248" s="32"/>
      <c r="F248" s="32"/>
      <c r="G248" s="32"/>
      <c r="H248" s="32"/>
      <c r="I248" s="32"/>
    </row>
    <row r="249" spans="2:9" ht="0.75" customHeight="1">
      <c r="B249" s="19">
        <v>2003</v>
      </c>
      <c r="C249" s="32"/>
      <c r="D249" s="32"/>
      <c r="E249" s="32"/>
      <c r="F249" s="32"/>
      <c r="G249" s="32"/>
      <c r="H249" s="32"/>
      <c r="I249" s="32"/>
    </row>
    <row r="250" spans="2:9" ht="0.75" customHeight="1">
      <c r="B250" s="19">
        <v>2004</v>
      </c>
      <c r="C250" s="32"/>
      <c r="D250" s="32"/>
      <c r="E250" s="32"/>
      <c r="F250" s="32"/>
      <c r="G250" s="32"/>
      <c r="H250" s="32"/>
      <c r="I250" s="32"/>
    </row>
    <row r="251" spans="2:9" ht="0.75" customHeight="1">
      <c r="B251" s="19">
        <v>2005</v>
      </c>
      <c r="C251" s="32"/>
      <c r="D251" s="32"/>
      <c r="E251" s="32"/>
      <c r="F251" s="32"/>
      <c r="G251" s="32"/>
      <c r="H251" s="32"/>
      <c r="I251" s="32"/>
    </row>
    <row r="252" spans="2:9" ht="0.75" customHeight="1">
      <c r="B252" s="19">
        <v>2006</v>
      </c>
      <c r="C252" s="32"/>
      <c r="D252" s="32"/>
      <c r="E252" s="32"/>
      <c r="F252" s="32"/>
      <c r="G252" s="32"/>
      <c r="H252" s="32"/>
      <c r="I252" s="32"/>
    </row>
    <row r="253" spans="2:9" ht="0.75" customHeight="1">
      <c r="B253" s="19">
        <v>2007</v>
      </c>
      <c r="C253" s="32"/>
      <c r="D253" s="32"/>
      <c r="E253" s="32"/>
      <c r="F253" s="32"/>
      <c r="G253" s="32"/>
      <c r="H253" s="32"/>
      <c r="I253" s="32"/>
    </row>
    <row r="254" spans="2:9" ht="0.75" customHeight="1">
      <c r="B254" s="19">
        <v>2008</v>
      </c>
      <c r="C254" s="32"/>
      <c r="D254" s="32"/>
      <c r="E254" s="32"/>
      <c r="F254" s="32"/>
      <c r="G254" s="32"/>
      <c r="H254" s="32"/>
      <c r="I254" s="32"/>
    </row>
    <row r="255" spans="2:9" ht="0.75" customHeight="1">
      <c r="B255" s="19">
        <v>2009</v>
      </c>
      <c r="C255" s="32"/>
      <c r="D255" s="32"/>
      <c r="E255" s="32"/>
      <c r="F255" s="32"/>
      <c r="G255" s="32"/>
      <c r="H255" s="32"/>
      <c r="I255" s="32"/>
    </row>
    <row r="256" spans="2:9" ht="0.75" customHeight="1">
      <c r="B256" s="19">
        <v>2010</v>
      </c>
      <c r="C256" s="32"/>
      <c r="D256" s="32"/>
      <c r="E256" s="32"/>
      <c r="F256" s="32"/>
      <c r="G256" s="32"/>
      <c r="H256" s="32"/>
      <c r="I256" s="32"/>
    </row>
    <row r="257" ht="12.75" thickBot="1"/>
    <row r="258" spans="5:9" ht="15" thickBot="1">
      <c r="E258" s="25"/>
      <c r="F258" s="37"/>
      <c r="G258" s="26" t="s">
        <v>114</v>
      </c>
      <c r="H258" s="37"/>
      <c r="I258" s="47"/>
    </row>
    <row r="259" spans="3:12" ht="0.75" customHeight="1">
      <c r="C259" s="1" t="s">
        <v>57</v>
      </c>
      <c r="D259" s="1" t="s">
        <v>58</v>
      </c>
      <c r="E259" s="1" t="s">
        <v>60</v>
      </c>
      <c r="F259" s="1" t="s">
        <v>59</v>
      </c>
      <c r="G259" s="1" t="s">
        <v>49</v>
      </c>
      <c r="H259" s="1" t="s">
        <v>61</v>
      </c>
      <c r="I259" s="1" t="s">
        <v>52</v>
      </c>
      <c r="J259" s="1" t="s">
        <v>62</v>
      </c>
      <c r="K259" s="1" t="s">
        <v>63</v>
      </c>
      <c r="L259" s="1" t="s">
        <v>64</v>
      </c>
    </row>
    <row r="260" spans="2:12" ht="0.75" customHeight="1">
      <c r="B260" s="8">
        <v>1973</v>
      </c>
      <c r="C260" s="32">
        <v>459</v>
      </c>
      <c r="D260" s="32">
        <v>1135</v>
      </c>
      <c r="E260" s="32">
        <v>562</v>
      </c>
      <c r="F260" s="32">
        <v>2156</v>
      </c>
      <c r="G260" s="32">
        <v>2993</v>
      </c>
      <c r="H260" s="32">
        <v>6025</v>
      </c>
      <c r="I260" s="32">
        <v>17308</v>
      </c>
      <c r="J260" s="34">
        <f>G260/H260</f>
        <v>0.4967634854771784</v>
      </c>
      <c r="K260" s="34">
        <f>G260/I260</f>
        <v>0.17292581465218396</v>
      </c>
      <c r="L260" s="34">
        <f>H260/I260</f>
        <v>0.34810492257915415</v>
      </c>
    </row>
    <row r="261" spans="2:12" ht="0.75" customHeight="1">
      <c r="B261" s="8">
        <v>1974</v>
      </c>
      <c r="C261" s="32">
        <v>713</v>
      </c>
      <c r="D261" s="32">
        <v>979</v>
      </c>
      <c r="E261" s="32">
        <v>561</v>
      </c>
      <c r="F261" s="32">
        <v>2253</v>
      </c>
      <c r="G261" s="32">
        <v>3280</v>
      </c>
      <c r="H261" s="32">
        <v>5892</v>
      </c>
      <c r="I261" s="32">
        <v>16653</v>
      </c>
      <c r="J261" s="34">
        <f aca="true" t="shared" si="19" ref="J261:J287">G261/H261</f>
        <v>0.5566870332654447</v>
      </c>
      <c r="K261" s="34">
        <f aca="true" t="shared" si="20" ref="K261:K287">G261/I261</f>
        <v>0.1969615084369183</v>
      </c>
      <c r="L261" s="34">
        <f aca="true" t="shared" si="21" ref="L261:L287">H261/I261</f>
        <v>0.3538101243019276</v>
      </c>
    </row>
    <row r="262" spans="2:12" ht="0.75" customHeight="1">
      <c r="B262" s="8">
        <v>1975</v>
      </c>
      <c r="C262" s="32">
        <v>762</v>
      </c>
      <c r="D262" s="32">
        <v>702</v>
      </c>
      <c r="E262" s="32">
        <v>988</v>
      </c>
      <c r="F262" s="32">
        <v>2452</v>
      </c>
      <c r="G262" s="32">
        <v>3601</v>
      </c>
      <c r="H262" s="32">
        <v>5846</v>
      </c>
      <c r="I262" s="32">
        <v>16322</v>
      </c>
      <c r="J262" s="34">
        <f t="shared" si="19"/>
        <v>0.6159767362299008</v>
      </c>
      <c r="K262" s="34">
        <f t="shared" si="20"/>
        <v>0.2206224727361843</v>
      </c>
      <c r="L262" s="34">
        <f t="shared" si="21"/>
        <v>0.3581668913123392</v>
      </c>
    </row>
    <row r="263" spans="2:12" ht="0.75" customHeight="1">
      <c r="B263" s="8">
        <v>1976</v>
      </c>
      <c r="C263" s="32">
        <v>1025</v>
      </c>
      <c r="D263" s="32">
        <v>700</v>
      </c>
      <c r="E263" s="32">
        <v>1504</v>
      </c>
      <c r="F263" s="32">
        <v>3229</v>
      </c>
      <c r="G263" s="32">
        <v>5066</v>
      </c>
      <c r="H263" s="32">
        <v>7090</v>
      </c>
      <c r="I263" s="32">
        <v>17461</v>
      </c>
      <c r="J263" s="34">
        <f t="shared" si="19"/>
        <v>0.7145275035260931</v>
      </c>
      <c r="K263" s="34">
        <f t="shared" si="20"/>
        <v>0.2901322948284749</v>
      </c>
      <c r="L263" s="34">
        <f t="shared" si="21"/>
        <v>0.4060477635874234</v>
      </c>
    </row>
    <row r="264" spans="2:12" ht="0.75" customHeight="1">
      <c r="B264" s="8">
        <v>1977</v>
      </c>
      <c r="C264" s="32">
        <v>1143</v>
      </c>
      <c r="D264" s="32">
        <v>690</v>
      </c>
      <c r="E264" s="32">
        <v>1921</v>
      </c>
      <c r="F264" s="32">
        <v>3754</v>
      </c>
      <c r="G264" s="32">
        <v>6193</v>
      </c>
      <c r="H264" s="32">
        <v>8565</v>
      </c>
      <c r="I264" s="32">
        <v>18431</v>
      </c>
      <c r="J264" s="34">
        <f t="shared" si="19"/>
        <v>0.7230589608873321</v>
      </c>
      <c r="K264" s="34">
        <f t="shared" si="20"/>
        <v>0.3360099831805111</v>
      </c>
      <c r="L264" s="34">
        <f t="shared" si="21"/>
        <v>0.46470620150832836</v>
      </c>
    </row>
    <row r="265" spans="2:12" ht="0.75" customHeight="1">
      <c r="B265" s="8">
        <v>1978</v>
      </c>
      <c r="C265" s="32">
        <v>919</v>
      </c>
      <c r="D265" s="32">
        <v>646</v>
      </c>
      <c r="E265" s="32">
        <v>1971</v>
      </c>
      <c r="F265" s="32">
        <v>3536</v>
      </c>
      <c r="G265" s="32">
        <v>5751</v>
      </c>
      <c r="H265" s="32">
        <v>8002</v>
      </c>
      <c r="I265" s="32">
        <v>18847</v>
      </c>
      <c r="J265" s="34">
        <f t="shared" si="19"/>
        <v>0.7186953261684579</v>
      </c>
      <c r="K265" s="34">
        <f t="shared" si="20"/>
        <v>0.3051414018146124</v>
      </c>
      <c r="L265" s="34">
        <f t="shared" si="21"/>
        <v>0.4245768557330079</v>
      </c>
    </row>
    <row r="266" spans="2:12" ht="0.75" customHeight="1">
      <c r="B266" s="8">
        <v>1979</v>
      </c>
      <c r="C266" s="32">
        <v>1080</v>
      </c>
      <c r="D266" s="32">
        <v>690</v>
      </c>
      <c r="E266" s="32">
        <v>1799</v>
      </c>
      <c r="F266" s="32">
        <v>3569</v>
      </c>
      <c r="G266" s="32">
        <v>5637</v>
      </c>
      <c r="H266" s="32">
        <v>7985</v>
      </c>
      <c r="I266" s="32">
        <v>18513</v>
      </c>
      <c r="J266" s="34">
        <f t="shared" si="19"/>
        <v>0.7059486537257358</v>
      </c>
      <c r="K266" s="34">
        <f t="shared" si="20"/>
        <v>0.30448873764381784</v>
      </c>
      <c r="L266" s="34">
        <f t="shared" si="21"/>
        <v>0.43131853292281097</v>
      </c>
    </row>
    <row r="267" spans="2:12" ht="0.75" customHeight="1">
      <c r="B267" s="8">
        <v>1980</v>
      </c>
      <c r="C267" s="32">
        <v>857</v>
      </c>
      <c r="D267" s="32">
        <v>481</v>
      </c>
      <c r="E267" s="32">
        <v>1443</v>
      </c>
      <c r="F267" s="32">
        <v>2781</v>
      </c>
      <c r="G267" s="32">
        <v>4300</v>
      </c>
      <c r="H267" s="32">
        <v>6365</v>
      </c>
      <c r="I267" s="32">
        <v>17056</v>
      </c>
      <c r="J267" s="34">
        <f t="shared" si="19"/>
        <v>0.6755695208169678</v>
      </c>
      <c r="K267" s="34">
        <f t="shared" si="20"/>
        <v>0.2521106941838649</v>
      </c>
      <c r="L267" s="34">
        <f t="shared" si="21"/>
        <v>0.3731824577861163</v>
      </c>
    </row>
    <row r="268" spans="2:12" ht="0.75" customHeight="1">
      <c r="B268" s="8">
        <v>1981</v>
      </c>
      <c r="C268" s="32">
        <v>620</v>
      </c>
      <c r="D268" s="32">
        <v>406</v>
      </c>
      <c r="E268" s="32">
        <v>1080</v>
      </c>
      <c r="F268" s="32">
        <v>2106</v>
      </c>
      <c r="G268" s="32">
        <v>3323</v>
      </c>
      <c r="H268" s="32">
        <v>5401</v>
      </c>
      <c r="I268" s="32">
        <v>16058</v>
      </c>
      <c r="J268" s="34">
        <f t="shared" si="19"/>
        <v>0.6152564339937049</v>
      </c>
      <c r="K268" s="34">
        <f t="shared" si="20"/>
        <v>0.20693735209864242</v>
      </c>
      <c r="L268" s="34">
        <f t="shared" si="21"/>
        <v>0.3363432556980944</v>
      </c>
    </row>
    <row r="269" spans="2:12" ht="0.75" customHeight="1">
      <c r="B269" s="8">
        <v>1982</v>
      </c>
      <c r="C269" s="32">
        <v>514</v>
      </c>
      <c r="D269" s="32">
        <v>412</v>
      </c>
      <c r="E269" s="32">
        <v>525</v>
      </c>
      <c r="F269" s="32">
        <v>1451</v>
      </c>
      <c r="G269" s="32">
        <v>2146</v>
      </c>
      <c r="H269" s="32">
        <v>4298</v>
      </c>
      <c r="I269" s="32">
        <v>15296</v>
      </c>
      <c r="J269" s="34">
        <f t="shared" si="19"/>
        <v>0.4993020009306654</v>
      </c>
      <c r="K269" s="34">
        <f t="shared" si="20"/>
        <v>0.14029811715481172</v>
      </c>
      <c r="L269" s="34">
        <f t="shared" si="21"/>
        <v>0.2809884937238494</v>
      </c>
    </row>
    <row r="270" spans="2:12" ht="0.75" customHeight="1">
      <c r="B270" s="8">
        <v>1983</v>
      </c>
      <c r="C270" s="32">
        <v>302</v>
      </c>
      <c r="D270" s="32">
        <v>422</v>
      </c>
      <c r="E270" s="32">
        <v>698</v>
      </c>
      <c r="F270" s="32">
        <v>1422</v>
      </c>
      <c r="G270" s="32">
        <v>1862</v>
      </c>
      <c r="H270" s="32">
        <v>4312</v>
      </c>
      <c r="I270" s="32">
        <v>15231</v>
      </c>
      <c r="J270" s="34">
        <f t="shared" si="19"/>
        <v>0.4318181818181818</v>
      </c>
      <c r="K270" s="34">
        <f t="shared" si="20"/>
        <v>0.12225067296960147</v>
      </c>
      <c r="L270" s="34">
        <f t="shared" si="21"/>
        <v>0.28310682161381395</v>
      </c>
    </row>
    <row r="271" spans="2:12" ht="0.75" customHeight="1">
      <c r="B271" s="8">
        <v>1984</v>
      </c>
      <c r="C271" s="32">
        <v>216</v>
      </c>
      <c r="D271" s="32">
        <v>548</v>
      </c>
      <c r="E271" s="32">
        <v>780</v>
      </c>
      <c r="F271" s="32">
        <v>1544</v>
      </c>
      <c r="G271" s="32">
        <v>2049</v>
      </c>
      <c r="H271" s="32">
        <v>4715</v>
      </c>
      <c r="I271" s="32">
        <v>15726</v>
      </c>
      <c r="J271" s="34">
        <f t="shared" si="19"/>
        <v>0.43457051961823967</v>
      </c>
      <c r="K271" s="34">
        <f t="shared" si="20"/>
        <v>0.13029378099961847</v>
      </c>
      <c r="L271" s="34">
        <f t="shared" si="21"/>
        <v>0.2998219509093221</v>
      </c>
    </row>
    <row r="272" spans="2:12" ht="0.75" customHeight="1">
      <c r="B272" s="8">
        <v>1985</v>
      </c>
      <c r="C272" s="32">
        <v>293</v>
      </c>
      <c r="D272" s="32">
        <v>605</v>
      </c>
      <c r="E272" s="32">
        <v>624</v>
      </c>
      <c r="F272" s="32">
        <v>1522</v>
      </c>
      <c r="G272" s="32">
        <v>1830</v>
      </c>
      <c r="H272" s="32">
        <v>4286</v>
      </c>
      <c r="I272" s="32">
        <v>15726</v>
      </c>
      <c r="J272" s="34">
        <f t="shared" si="19"/>
        <v>0.4269715352309846</v>
      </c>
      <c r="K272" s="34">
        <f t="shared" si="20"/>
        <v>0.1163677985501717</v>
      </c>
      <c r="L272" s="34">
        <f t="shared" si="21"/>
        <v>0.272542286659036</v>
      </c>
    </row>
    <row r="273" spans="2:12" ht="0.75" customHeight="1">
      <c r="B273" s="8">
        <v>1986</v>
      </c>
      <c r="C273" s="32">
        <v>440</v>
      </c>
      <c r="D273" s="32">
        <v>793</v>
      </c>
      <c r="E273" s="32">
        <v>693</v>
      </c>
      <c r="F273" s="32">
        <v>1926</v>
      </c>
      <c r="G273" s="32">
        <v>2837</v>
      </c>
      <c r="H273" s="32">
        <v>5439</v>
      </c>
      <c r="I273" s="32">
        <v>16281</v>
      </c>
      <c r="J273" s="34">
        <f t="shared" si="19"/>
        <v>0.5216032358889502</v>
      </c>
      <c r="K273" s="34">
        <f t="shared" si="20"/>
        <v>0.17425219581106813</v>
      </c>
      <c r="L273" s="34">
        <f t="shared" si="21"/>
        <v>0.33407038879675693</v>
      </c>
    </row>
    <row r="274" spans="2:12" ht="0.75" customHeight="1">
      <c r="B274" s="8">
        <v>1987</v>
      </c>
      <c r="C274" s="32">
        <v>535</v>
      </c>
      <c r="D274" s="32">
        <v>804</v>
      </c>
      <c r="E274" s="32">
        <v>644</v>
      </c>
      <c r="F274" s="32">
        <v>1983</v>
      </c>
      <c r="G274" s="32">
        <v>3060</v>
      </c>
      <c r="H274" s="32">
        <v>5914</v>
      </c>
      <c r="I274" s="32">
        <v>16665</v>
      </c>
      <c r="J274" s="34">
        <f t="shared" si="19"/>
        <v>0.5174163003043625</v>
      </c>
      <c r="K274" s="34">
        <f t="shared" si="20"/>
        <v>0.18361836183618363</v>
      </c>
      <c r="L274" s="34">
        <f t="shared" si="21"/>
        <v>0.35487548754875486</v>
      </c>
    </row>
    <row r="275" spans="2:12" ht="0.75" customHeight="1">
      <c r="B275" s="8">
        <v>1988</v>
      </c>
      <c r="C275" s="32">
        <v>618</v>
      </c>
      <c r="D275" s="32">
        <v>794</v>
      </c>
      <c r="E275" s="32">
        <v>569</v>
      </c>
      <c r="F275" s="32">
        <v>1981</v>
      </c>
      <c r="G275" s="32">
        <v>3520</v>
      </c>
      <c r="H275" s="32">
        <v>6587</v>
      </c>
      <c r="I275" s="32">
        <v>17283</v>
      </c>
      <c r="J275" s="34">
        <f t="shared" si="19"/>
        <v>0.5343859116441476</v>
      </c>
      <c r="K275" s="34">
        <f t="shared" si="20"/>
        <v>0.20366834461609673</v>
      </c>
      <c r="L275" s="34">
        <f t="shared" si="21"/>
        <v>0.38112596192790604</v>
      </c>
    </row>
    <row r="276" spans="2:12" ht="0.75" customHeight="1">
      <c r="B276" s="8">
        <v>1989</v>
      </c>
      <c r="C276" s="32">
        <v>815</v>
      </c>
      <c r="D276" s="32">
        <v>873</v>
      </c>
      <c r="E276" s="32">
        <v>591</v>
      </c>
      <c r="F276" s="32">
        <v>2279</v>
      </c>
      <c r="G276" s="32">
        <v>4140</v>
      </c>
      <c r="H276" s="32">
        <v>7202</v>
      </c>
      <c r="I276" s="32">
        <v>17325</v>
      </c>
      <c r="J276" s="34">
        <f t="shared" si="19"/>
        <v>0.5748403221327409</v>
      </c>
      <c r="K276" s="34">
        <f t="shared" si="20"/>
        <v>0.23896103896103896</v>
      </c>
      <c r="L276" s="34">
        <f t="shared" si="21"/>
        <v>0.4156998556998557</v>
      </c>
    </row>
    <row r="277" spans="2:12" ht="0.75" customHeight="1">
      <c r="B277" s="8">
        <v>1990</v>
      </c>
      <c r="C277" s="32">
        <v>800</v>
      </c>
      <c r="D277" s="32">
        <v>1025</v>
      </c>
      <c r="E277" s="32">
        <v>507</v>
      </c>
      <c r="F277" s="32">
        <v>2332</v>
      </c>
      <c r="G277" s="32">
        <v>4296</v>
      </c>
      <c r="H277" s="32">
        <v>7161</v>
      </c>
      <c r="I277" s="32">
        <v>16988</v>
      </c>
      <c r="J277" s="34">
        <f t="shared" si="19"/>
        <v>0.5999162128194386</v>
      </c>
      <c r="K277" s="34">
        <f t="shared" si="20"/>
        <v>0.2528843889804568</v>
      </c>
      <c r="L277" s="34">
        <f t="shared" si="21"/>
        <v>0.4215328467153285</v>
      </c>
    </row>
    <row r="278" spans="2:12" ht="0.75" customHeight="1">
      <c r="B278" s="8">
        <v>1991</v>
      </c>
      <c r="C278" s="32">
        <v>703</v>
      </c>
      <c r="D278" s="32">
        <v>1035</v>
      </c>
      <c r="E278" s="32">
        <v>511</v>
      </c>
      <c r="F278" s="32">
        <v>2249</v>
      </c>
      <c r="G278" s="32">
        <v>4092</v>
      </c>
      <c r="H278" s="32">
        <v>6626</v>
      </c>
      <c r="I278" s="32">
        <v>16714</v>
      </c>
      <c r="J278" s="34">
        <f t="shared" si="19"/>
        <v>0.6175671596740114</v>
      </c>
      <c r="K278" s="34">
        <f t="shared" si="20"/>
        <v>0.24482469785808306</v>
      </c>
      <c r="L278" s="34">
        <f t="shared" si="21"/>
        <v>0.39643412707909537</v>
      </c>
    </row>
    <row r="279" spans="2:12" ht="0.75" customHeight="1">
      <c r="B279" s="8">
        <v>1992</v>
      </c>
      <c r="C279" s="32">
        <v>681</v>
      </c>
      <c r="D279" s="32">
        <v>1170</v>
      </c>
      <c r="E279" s="32">
        <v>462</v>
      </c>
      <c r="F279" s="32">
        <v>2313</v>
      </c>
      <c r="G279" s="32">
        <v>4092</v>
      </c>
      <c r="H279" s="32">
        <v>6938</v>
      </c>
      <c r="I279" s="32">
        <v>17033</v>
      </c>
      <c r="J279" s="34">
        <f t="shared" si="19"/>
        <v>0.5897953300663016</v>
      </c>
      <c r="K279" s="34">
        <f t="shared" si="20"/>
        <v>0.2402395350202548</v>
      </c>
      <c r="L279" s="34">
        <f t="shared" si="21"/>
        <v>0.40732695356073506</v>
      </c>
    </row>
    <row r="280" spans="2:12" ht="0.75" customHeight="1">
      <c r="B280" s="8">
        <v>1993</v>
      </c>
      <c r="C280" s="32">
        <v>740</v>
      </c>
      <c r="D280" s="32">
        <v>1300</v>
      </c>
      <c r="E280" s="32">
        <v>453</v>
      </c>
      <c r="F280" s="32">
        <v>2493</v>
      </c>
      <c r="G280" s="32">
        <v>4273</v>
      </c>
      <c r="H280" s="32">
        <v>7618</v>
      </c>
      <c r="I280" s="32">
        <v>17237</v>
      </c>
      <c r="J280" s="34">
        <f t="shared" si="19"/>
        <v>0.560908374901549</v>
      </c>
      <c r="K280" s="34">
        <f t="shared" si="20"/>
        <v>0.24789696582932064</v>
      </c>
      <c r="L280" s="34">
        <f t="shared" si="21"/>
        <v>0.4419562568892499</v>
      </c>
    </row>
    <row r="281" spans="2:12" ht="0.75" customHeight="1">
      <c r="B281" s="8">
        <v>1994</v>
      </c>
      <c r="C281" s="32">
        <v>637</v>
      </c>
      <c r="D281" s="32">
        <v>1334</v>
      </c>
      <c r="E281" s="32">
        <v>549</v>
      </c>
      <c r="F281" s="32">
        <v>2520</v>
      </c>
      <c r="G281" s="32">
        <v>4247</v>
      </c>
      <c r="H281" s="32">
        <v>8054</v>
      </c>
      <c r="I281" s="32">
        <v>17718</v>
      </c>
      <c r="J281" s="34">
        <f t="shared" si="19"/>
        <v>0.5273156195679166</v>
      </c>
      <c r="K281" s="34">
        <f t="shared" si="20"/>
        <v>0.23969974037701772</v>
      </c>
      <c r="L281" s="34">
        <f t="shared" si="21"/>
        <v>0.45456597810136584</v>
      </c>
    </row>
    <row r="282" spans="2:12" ht="0.75" customHeight="1">
      <c r="B282" s="8">
        <v>1995</v>
      </c>
      <c r="C282" s="32">
        <v>627</v>
      </c>
      <c r="D282" s="32">
        <v>1480</v>
      </c>
      <c r="E282" s="32">
        <v>323</v>
      </c>
      <c r="F282" s="32">
        <v>2430</v>
      </c>
      <c r="G282" s="32">
        <v>4002</v>
      </c>
      <c r="H282" s="32">
        <v>7886</v>
      </c>
      <c r="I282" s="32">
        <v>17725</v>
      </c>
      <c r="J282" s="34">
        <f t="shared" si="19"/>
        <v>0.5074816129850368</v>
      </c>
      <c r="K282" s="34">
        <f t="shared" si="20"/>
        <v>0.22578279266572637</v>
      </c>
      <c r="L282" s="34">
        <f t="shared" si="21"/>
        <v>0.4449083215796897</v>
      </c>
    </row>
    <row r="283" spans="2:12" ht="0.75" customHeight="1">
      <c r="B283" s="8">
        <v>1996</v>
      </c>
      <c r="C283" s="32">
        <v>617</v>
      </c>
      <c r="D283" s="32">
        <v>1676</v>
      </c>
      <c r="E283" s="32">
        <v>316</v>
      </c>
      <c r="F283" s="32">
        <v>2609</v>
      </c>
      <c r="G283" s="32">
        <v>4211</v>
      </c>
      <c r="H283" s="32">
        <v>8498</v>
      </c>
      <c r="I283" s="32">
        <v>18309</v>
      </c>
      <c r="J283" s="34">
        <f t="shared" si="19"/>
        <v>0.4955283596140268</v>
      </c>
      <c r="K283" s="34">
        <f t="shared" si="20"/>
        <v>0.22999617674367798</v>
      </c>
      <c r="L283" s="34">
        <f t="shared" si="21"/>
        <v>0.46414331749412857</v>
      </c>
    </row>
    <row r="284" spans="2:12" ht="0.75" customHeight="1">
      <c r="B284" s="8">
        <v>1997</v>
      </c>
      <c r="C284" s="32">
        <v>698</v>
      </c>
      <c r="D284" s="32">
        <v>1773</v>
      </c>
      <c r="E284" s="32">
        <v>343</v>
      </c>
      <c r="F284" s="32">
        <v>2814</v>
      </c>
      <c r="G284" s="32">
        <v>4569</v>
      </c>
      <c r="H284" s="32">
        <v>9158</v>
      </c>
      <c r="I284" s="32">
        <v>18620</v>
      </c>
      <c r="J284" s="34">
        <f t="shared" si="19"/>
        <v>0.4989080585280629</v>
      </c>
      <c r="K284" s="34">
        <f t="shared" si="20"/>
        <v>0.2453813104189044</v>
      </c>
      <c r="L284" s="34">
        <f t="shared" si="21"/>
        <v>0.49183673469387756</v>
      </c>
    </row>
    <row r="285" spans="2:12" ht="0.75" customHeight="1">
      <c r="B285" s="8">
        <v>1998</v>
      </c>
      <c r="C285" s="32">
        <v>696</v>
      </c>
      <c r="D285" s="32">
        <v>1719</v>
      </c>
      <c r="E285" s="32">
        <v>356</v>
      </c>
      <c r="F285" s="32">
        <v>2771</v>
      </c>
      <c r="G285" s="32">
        <v>4905</v>
      </c>
      <c r="H285" s="32">
        <v>9764</v>
      </c>
      <c r="I285" s="32">
        <v>18917</v>
      </c>
      <c r="J285" s="34">
        <f t="shared" si="19"/>
        <v>0.502355591970504</v>
      </c>
      <c r="K285" s="34">
        <f t="shared" si="20"/>
        <v>0.2592905851879262</v>
      </c>
      <c r="L285" s="34">
        <f t="shared" si="21"/>
        <v>0.5161494951630808</v>
      </c>
    </row>
    <row r="286" spans="2:12" ht="0.75" customHeight="1">
      <c r="B286" s="8">
        <v>1999</v>
      </c>
      <c r="C286" s="32">
        <v>657</v>
      </c>
      <c r="D286" s="32">
        <v>1493</v>
      </c>
      <c r="E286" s="32">
        <v>339</v>
      </c>
      <c r="F286" s="32">
        <v>2489</v>
      </c>
      <c r="G286" s="32">
        <v>4953</v>
      </c>
      <c r="H286" s="32">
        <v>9912</v>
      </c>
      <c r="I286" s="32">
        <v>19519</v>
      </c>
      <c r="J286" s="34">
        <f t="shared" si="19"/>
        <v>0.49969733656174337</v>
      </c>
      <c r="K286" s="34">
        <f t="shared" si="20"/>
        <v>0.2537527537271377</v>
      </c>
      <c r="L286" s="34">
        <f t="shared" si="21"/>
        <v>0.5078129002510374</v>
      </c>
    </row>
    <row r="287" spans="2:12" ht="0.75" customHeight="1">
      <c r="B287" s="8">
        <v>2000</v>
      </c>
      <c r="C287" s="33">
        <f>906/(11/12)</f>
        <v>988.3636363636364</v>
      </c>
      <c r="D287" s="33">
        <f>1495/(11/12)</f>
        <v>1630.909090909091</v>
      </c>
      <c r="E287" s="32">
        <v>279.272727272727</v>
      </c>
      <c r="F287" s="33">
        <f>2657/(11/12)</f>
        <v>2898.5454545454545</v>
      </c>
      <c r="G287" s="33">
        <f>5097/(11/12)</f>
        <v>5560.363636363637</v>
      </c>
      <c r="H287" s="32">
        <v>10029</v>
      </c>
      <c r="I287" s="32">
        <v>19484</v>
      </c>
      <c r="J287" s="34">
        <f t="shared" si="19"/>
        <v>0.5544285209256792</v>
      </c>
      <c r="K287" s="34">
        <f t="shared" si="20"/>
        <v>0.2853810119258693</v>
      </c>
      <c r="L287" s="34">
        <f t="shared" si="21"/>
        <v>0.5147300349004311</v>
      </c>
    </row>
    <row r="288" spans="2:7" ht="0.75" customHeight="1">
      <c r="B288" s="8">
        <v>2001</v>
      </c>
      <c r="C288" s="32"/>
      <c r="D288" s="32"/>
      <c r="E288" s="32"/>
      <c r="F288" s="32"/>
      <c r="G288" s="32"/>
    </row>
    <row r="289" spans="2:7" ht="0.75" customHeight="1">
      <c r="B289" s="8">
        <v>2002</v>
      </c>
      <c r="C289" s="32"/>
      <c r="D289" s="32"/>
      <c r="E289" s="32"/>
      <c r="F289" s="32"/>
      <c r="G289" s="32"/>
    </row>
    <row r="290" spans="2:7" ht="0.75" customHeight="1">
      <c r="B290" s="8">
        <v>2003</v>
      </c>
      <c r="C290" s="32"/>
      <c r="D290" s="32"/>
      <c r="E290" s="32"/>
      <c r="F290" s="32"/>
      <c r="G290" s="32"/>
    </row>
    <row r="291" spans="2:7" ht="0.75" customHeight="1">
      <c r="B291" s="8">
        <v>2004</v>
      </c>
      <c r="C291" s="32"/>
      <c r="D291" s="32"/>
      <c r="E291" s="32"/>
      <c r="F291" s="32"/>
      <c r="G291" s="32"/>
    </row>
    <row r="292" spans="2:7" ht="0.75" customHeight="1">
      <c r="B292" s="8">
        <v>2005</v>
      </c>
      <c r="C292" s="32"/>
      <c r="D292" s="32"/>
      <c r="E292" s="32"/>
      <c r="F292" s="32"/>
      <c r="G292" s="32"/>
    </row>
    <row r="293" spans="2:7" ht="0.75" customHeight="1">
      <c r="B293" s="8">
        <v>2006</v>
      </c>
      <c r="C293" s="32"/>
      <c r="D293" s="32"/>
      <c r="E293" s="32"/>
      <c r="F293" s="32"/>
      <c r="G293" s="32"/>
    </row>
    <row r="294" spans="2:7" ht="0.75" customHeight="1">
      <c r="B294" s="8">
        <v>2007</v>
      </c>
      <c r="C294" s="32"/>
      <c r="D294" s="32"/>
      <c r="E294" s="32"/>
      <c r="F294" s="32"/>
      <c r="G294" s="32"/>
    </row>
    <row r="295" spans="2:7" ht="0.75" customHeight="1">
      <c r="B295" s="8">
        <v>2008</v>
      </c>
      <c r="C295" s="32"/>
      <c r="D295" s="32"/>
      <c r="E295" s="32"/>
      <c r="F295" s="32"/>
      <c r="G295" s="32"/>
    </row>
    <row r="296" spans="2:7" ht="0.75" customHeight="1">
      <c r="B296" s="8">
        <v>2009</v>
      </c>
      <c r="C296" s="32"/>
      <c r="D296" s="32"/>
      <c r="E296" s="32"/>
      <c r="F296" s="32"/>
      <c r="G296" s="32"/>
    </row>
    <row r="297" spans="2:7" ht="0.75" customHeight="1">
      <c r="B297" s="8">
        <v>2010</v>
      </c>
      <c r="C297" s="32"/>
      <c r="D297" s="32"/>
      <c r="E297" s="32"/>
      <c r="F297" s="32"/>
      <c r="G297" s="32"/>
    </row>
    <row r="298" ht="12.75" thickBot="1"/>
    <row r="299" spans="4:10" ht="15" thickBot="1">
      <c r="D299" s="48"/>
      <c r="E299" s="37"/>
      <c r="F299" s="37"/>
      <c r="G299" s="26" t="s">
        <v>115</v>
      </c>
      <c r="H299" s="37"/>
      <c r="I299" s="37"/>
      <c r="J299" s="49"/>
    </row>
    <row r="300" spans="7:8" ht="0.75" customHeight="1">
      <c r="G300" s="39" t="s">
        <v>69</v>
      </c>
      <c r="H300" s="39" t="s">
        <v>69</v>
      </c>
    </row>
    <row r="301" spans="4:8" ht="0.75" customHeight="1">
      <c r="D301" s="2" t="s">
        <v>19</v>
      </c>
      <c r="E301" s="1" t="s">
        <v>65</v>
      </c>
      <c r="F301" s="1" t="s">
        <v>66</v>
      </c>
      <c r="G301" s="1" t="s">
        <v>67</v>
      </c>
      <c r="H301" s="1" t="s">
        <v>68</v>
      </c>
    </row>
    <row r="302" spans="3:8" ht="0.75" customHeight="1">
      <c r="C302" s="8">
        <v>1973</v>
      </c>
      <c r="D302" s="32">
        <v>1194</v>
      </c>
      <c r="E302" s="32">
        <v>138223</v>
      </c>
      <c r="F302" s="32">
        <v>27420</v>
      </c>
      <c r="G302" s="1">
        <f>E302/F302</f>
        <v>5.040955506929249</v>
      </c>
      <c r="H302" s="1">
        <f>E302/D302</f>
        <v>115.76465661641541</v>
      </c>
    </row>
    <row r="303" spans="3:8" ht="0.75" customHeight="1">
      <c r="C303" s="8">
        <v>1974</v>
      </c>
      <c r="D303" s="32">
        <v>1472</v>
      </c>
      <c r="E303" s="32">
        <v>153374</v>
      </c>
      <c r="F303" s="32">
        <v>32902</v>
      </c>
      <c r="G303" s="1">
        <f aca="true" t="shared" si="22" ref="G303:G329">E303/F303</f>
        <v>4.6615403318947175</v>
      </c>
      <c r="H303" s="1">
        <f aca="true" t="shared" si="23" ref="H303:H329">E303/D303</f>
        <v>104.19429347826087</v>
      </c>
    </row>
    <row r="304" spans="3:8" ht="0.75" customHeight="1">
      <c r="C304" s="8">
        <v>1975</v>
      </c>
      <c r="D304" s="32">
        <v>1660</v>
      </c>
      <c r="E304" s="32">
        <v>180494</v>
      </c>
      <c r="F304" s="32">
        <v>38721</v>
      </c>
      <c r="G304" s="1">
        <f t="shared" si="22"/>
        <v>4.661398207690917</v>
      </c>
      <c r="H304" s="1">
        <f t="shared" si="23"/>
        <v>108.73132530120482</v>
      </c>
    </row>
    <row r="305" spans="3:8" ht="0.75" customHeight="1">
      <c r="C305" s="8">
        <v>1976</v>
      </c>
      <c r="D305" s="32">
        <v>1658</v>
      </c>
      <c r="E305" s="32">
        <v>186982</v>
      </c>
      <c r="F305" s="32">
        <v>40855</v>
      </c>
      <c r="G305" s="1">
        <f t="shared" si="22"/>
        <v>4.576722555378779</v>
      </c>
      <c r="H305" s="1">
        <f t="shared" si="23"/>
        <v>112.77563329312424</v>
      </c>
    </row>
    <row r="306" spans="3:8" ht="0.75" customHeight="1">
      <c r="C306" s="8">
        <v>1977</v>
      </c>
      <c r="D306" s="32">
        <v>2001</v>
      </c>
      <c r="E306" s="32">
        <v>215866</v>
      </c>
      <c r="F306" s="32">
        <v>45852</v>
      </c>
      <c r="G306" s="1">
        <f t="shared" si="22"/>
        <v>4.707886242693885</v>
      </c>
      <c r="H306" s="1">
        <f t="shared" si="23"/>
        <v>107.87906046976512</v>
      </c>
    </row>
    <row r="307" spans="3:8" ht="0.75" customHeight="1">
      <c r="C307" s="8">
        <v>1978</v>
      </c>
      <c r="D307" s="32">
        <v>2259</v>
      </c>
      <c r="E307" s="32">
        <v>238669</v>
      </c>
      <c r="F307" s="32">
        <v>50145</v>
      </c>
      <c r="G307" s="1">
        <f t="shared" si="22"/>
        <v>4.759577226044471</v>
      </c>
      <c r="H307" s="1">
        <f t="shared" si="23"/>
        <v>105.65250110668437</v>
      </c>
    </row>
    <row r="308" spans="3:8" ht="0.75" customHeight="1">
      <c r="C308" s="8">
        <v>1979</v>
      </c>
      <c r="D308" s="32">
        <v>2177</v>
      </c>
      <c r="E308" s="32">
        <v>244798</v>
      </c>
      <c r="F308" s="32">
        <v>52204</v>
      </c>
      <c r="G308" s="1">
        <f t="shared" si="22"/>
        <v>4.689257528158762</v>
      </c>
      <c r="H308" s="1">
        <f t="shared" si="23"/>
        <v>112.44740468534681</v>
      </c>
    </row>
    <row r="309" spans="3:8" ht="0.75" customHeight="1">
      <c r="C309" s="8">
        <v>1980</v>
      </c>
      <c r="D309" s="32">
        <v>2909</v>
      </c>
      <c r="E309" s="32">
        <v>314654</v>
      </c>
      <c r="F309" s="32">
        <v>70610</v>
      </c>
      <c r="G309" s="1">
        <f t="shared" si="22"/>
        <v>4.456224330831327</v>
      </c>
      <c r="H309" s="1">
        <f t="shared" si="23"/>
        <v>108.16569267789619</v>
      </c>
    </row>
    <row r="310" spans="3:8" ht="0.75" customHeight="1">
      <c r="C310" s="8">
        <v>1981</v>
      </c>
      <c r="D310" s="32">
        <v>3970</v>
      </c>
      <c r="E310" s="32">
        <v>413112</v>
      </c>
      <c r="F310" s="32">
        <v>91553</v>
      </c>
      <c r="G310" s="1">
        <f t="shared" si="22"/>
        <v>4.512271580396055</v>
      </c>
      <c r="H310" s="1">
        <f t="shared" si="23"/>
        <v>104.05843828715365</v>
      </c>
    </row>
    <row r="311" spans="3:8" ht="0.75" customHeight="1">
      <c r="C311" s="8">
        <v>1982</v>
      </c>
      <c r="D311" s="32">
        <v>3105</v>
      </c>
      <c r="E311" s="32">
        <v>378295</v>
      </c>
      <c r="F311" s="32">
        <v>84397</v>
      </c>
      <c r="G311" s="1">
        <f t="shared" si="22"/>
        <v>4.482327570885221</v>
      </c>
      <c r="H311" s="1">
        <f t="shared" si="23"/>
        <v>121.8341384863124</v>
      </c>
    </row>
    <row r="312" spans="3:8" ht="0.75" customHeight="1">
      <c r="C312" s="8">
        <v>1983</v>
      </c>
      <c r="D312" s="32">
        <v>2232</v>
      </c>
      <c r="E312" s="32">
        <v>317986</v>
      </c>
      <c r="F312" s="32">
        <v>75837</v>
      </c>
      <c r="G312" s="1">
        <f t="shared" si="22"/>
        <v>4.19301923863022</v>
      </c>
      <c r="H312" s="1">
        <f t="shared" si="23"/>
        <v>142.4668458781362</v>
      </c>
    </row>
    <row r="313" spans="3:8" ht="0.75" customHeight="1">
      <c r="C313" s="8">
        <v>1984</v>
      </c>
      <c r="D313" s="32">
        <v>2428</v>
      </c>
      <c r="E313" s="32">
        <v>371392</v>
      </c>
      <c r="F313" s="32">
        <v>85413</v>
      </c>
      <c r="G313" s="1">
        <f t="shared" si="22"/>
        <v>4.348190556472668</v>
      </c>
      <c r="H313" s="1">
        <f t="shared" si="23"/>
        <v>152.96210873146623</v>
      </c>
    </row>
    <row r="314" spans="3:8" ht="0.75" customHeight="1">
      <c r="C314" s="8">
        <v>1985</v>
      </c>
      <c r="D314" s="32">
        <v>1980</v>
      </c>
      <c r="E314" s="32">
        <v>313045</v>
      </c>
      <c r="F314" s="32">
        <v>70342</v>
      </c>
      <c r="G314" s="1">
        <f t="shared" si="22"/>
        <v>4.4503283955531545</v>
      </c>
      <c r="H314" s="1">
        <f t="shared" si="23"/>
        <v>158.10353535353536</v>
      </c>
    </row>
    <row r="315" spans="3:8" ht="0.75" customHeight="1">
      <c r="C315" s="8">
        <v>1986</v>
      </c>
      <c r="D315" s="32">
        <v>964</v>
      </c>
      <c r="E315" s="32">
        <v>181856</v>
      </c>
      <c r="F315" s="32">
        <v>40291</v>
      </c>
      <c r="G315" s="1">
        <f t="shared" si="22"/>
        <v>4.5135638231863195</v>
      </c>
      <c r="H315" s="1">
        <f t="shared" si="23"/>
        <v>188.64730290456433</v>
      </c>
    </row>
    <row r="316" spans="3:8" ht="0.75" customHeight="1">
      <c r="C316" s="8">
        <v>1987</v>
      </c>
      <c r="D316" s="32">
        <v>936</v>
      </c>
      <c r="E316" s="32">
        <v>162178</v>
      </c>
      <c r="F316" s="32">
        <v>35331</v>
      </c>
      <c r="G316" s="1">
        <f t="shared" si="22"/>
        <v>4.590246525713963</v>
      </c>
      <c r="H316" s="1">
        <f t="shared" si="23"/>
        <v>173.26709401709402</v>
      </c>
    </row>
    <row r="317" spans="3:8" ht="0.75" customHeight="1">
      <c r="C317" s="8">
        <v>1988</v>
      </c>
      <c r="D317" s="32">
        <v>936</v>
      </c>
      <c r="E317" s="32">
        <v>156354</v>
      </c>
      <c r="F317" s="32">
        <v>32232</v>
      </c>
      <c r="G317" s="1">
        <f t="shared" si="22"/>
        <v>4.850893521965748</v>
      </c>
      <c r="H317" s="1">
        <f t="shared" si="23"/>
        <v>167.0448717948718</v>
      </c>
    </row>
    <row r="318" spans="3:8" ht="0.75" customHeight="1">
      <c r="C318" s="8">
        <v>1989</v>
      </c>
      <c r="D318" s="32">
        <v>869</v>
      </c>
      <c r="E318" s="32">
        <v>134439</v>
      </c>
      <c r="F318" s="32">
        <v>27931</v>
      </c>
      <c r="G318" s="1">
        <f t="shared" si="22"/>
        <v>4.813254090437149</v>
      </c>
      <c r="H318" s="1">
        <f t="shared" si="23"/>
        <v>154.7054085155351</v>
      </c>
    </row>
    <row r="319" spans="3:8" ht="0.75" customHeight="1">
      <c r="C319" s="8">
        <v>1990</v>
      </c>
      <c r="D319" s="32">
        <v>1010</v>
      </c>
      <c r="E319" s="32">
        <v>153702</v>
      </c>
      <c r="F319" s="32">
        <v>31555</v>
      </c>
      <c r="G319" s="1">
        <f t="shared" si="22"/>
        <v>4.870923783869435</v>
      </c>
      <c r="H319" s="1">
        <f t="shared" si="23"/>
        <v>152.180198019802</v>
      </c>
    </row>
    <row r="320" spans="3:8" ht="0.75" customHeight="1">
      <c r="C320" s="8">
        <v>1991</v>
      </c>
      <c r="D320" s="32">
        <v>860</v>
      </c>
      <c r="E320" s="32">
        <v>143021</v>
      </c>
      <c r="F320" s="32">
        <v>28892</v>
      </c>
      <c r="G320" s="1">
        <f t="shared" si="22"/>
        <v>4.950193825280355</v>
      </c>
      <c r="H320" s="1">
        <f t="shared" si="23"/>
        <v>166.30348837209303</v>
      </c>
    </row>
    <row r="321" spans="3:8" ht="0.75" customHeight="1">
      <c r="C321" s="8">
        <v>1992</v>
      </c>
      <c r="D321" s="32">
        <v>721</v>
      </c>
      <c r="E321" s="32">
        <v>121124</v>
      </c>
      <c r="F321" s="32">
        <v>23084</v>
      </c>
      <c r="G321" s="1">
        <f t="shared" si="22"/>
        <v>5.247097556749264</v>
      </c>
      <c r="H321" s="1">
        <f t="shared" si="23"/>
        <v>167.99445214979195</v>
      </c>
    </row>
    <row r="322" spans="3:8" ht="0.75" customHeight="1">
      <c r="C322" s="8">
        <v>1993</v>
      </c>
      <c r="D322" s="32">
        <v>754</v>
      </c>
      <c r="E322" s="32">
        <v>135118</v>
      </c>
      <c r="F322" s="32">
        <v>24752</v>
      </c>
      <c r="G322" s="1">
        <f t="shared" si="22"/>
        <v>5.458872010342598</v>
      </c>
      <c r="H322" s="1">
        <f t="shared" si="23"/>
        <v>179.20159151193633</v>
      </c>
    </row>
    <row r="323" spans="3:8" ht="0.75" customHeight="1">
      <c r="C323" s="8">
        <v>1994</v>
      </c>
      <c r="D323" s="32">
        <v>775</v>
      </c>
      <c r="E323" s="32">
        <v>124809</v>
      </c>
      <c r="F323" s="32">
        <v>21566</v>
      </c>
      <c r="G323" s="1">
        <f t="shared" si="22"/>
        <v>5.787304089770935</v>
      </c>
      <c r="H323" s="1">
        <f t="shared" si="23"/>
        <v>161.04387096774192</v>
      </c>
    </row>
    <row r="324" spans="3:8" ht="0.75" customHeight="1">
      <c r="C324" s="8">
        <v>1995</v>
      </c>
      <c r="D324" s="32">
        <v>723</v>
      </c>
      <c r="E324" s="32">
        <v>117832</v>
      </c>
      <c r="F324" s="32">
        <v>21056</v>
      </c>
      <c r="G324" s="1">
        <f t="shared" si="22"/>
        <v>5.59612462006079</v>
      </c>
      <c r="H324" s="1">
        <f t="shared" si="23"/>
        <v>162.97648686030428</v>
      </c>
    </row>
    <row r="325" spans="3:8" ht="0.75" customHeight="1">
      <c r="C325" s="8">
        <v>1996</v>
      </c>
      <c r="D325" s="32">
        <v>779</v>
      </c>
      <c r="E325" s="32">
        <v>129045</v>
      </c>
      <c r="F325" s="32">
        <v>22898</v>
      </c>
      <c r="G325" s="1">
        <f t="shared" si="22"/>
        <v>5.63564503450083</v>
      </c>
      <c r="H325" s="1">
        <f t="shared" si="23"/>
        <v>165.65468549422337</v>
      </c>
    </row>
    <row r="326" spans="3:8" ht="0.75" customHeight="1">
      <c r="C326" s="8">
        <v>1997</v>
      </c>
      <c r="D326" s="32">
        <v>943</v>
      </c>
      <c r="E326" s="32">
        <v>159661</v>
      </c>
      <c r="F326" s="32">
        <v>27465</v>
      </c>
      <c r="G326" s="1">
        <f t="shared" si="22"/>
        <v>5.813253231385399</v>
      </c>
      <c r="H326" s="1">
        <f t="shared" si="23"/>
        <v>169.3117709437964</v>
      </c>
    </row>
    <row r="327" spans="3:8" ht="0.75" customHeight="1">
      <c r="C327" s="8">
        <v>1998</v>
      </c>
      <c r="D327" s="32">
        <v>827</v>
      </c>
      <c r="E327" s="32">
        <v>149627</v>
      </c>
      <c r="F327" s="32">
        <v>24083</v>
      </c>
      <c r="G327" s="1">
        <f t="shared" si="22"/>
        <v>6.212971805838143</v>
      </c>
      <c r="H327" s="1">
        <f t="shared" si="23"/>
        <v>180.92744860943168</v>
      </c>
    </row>
    <row r="328" spans="3:8" ht="0.75" customHeight="1">
      <c r="C328" s="8">
        <v>1999</v>
      </c>
      <c r="D328" s="32">
        <v>625</v>
      </c>
      <c r="E328" s="32">
        <v>108054</v>
      </c>
      <c r="F328" s="32">
        <v>18180</v>
      </c>
      <c r="G328" s="1">
        <f t="shared" si="22"/>
        <v>5.943564356435644</v>
      </c>
      <c r="H328" s="1">
        <f t="shared" si="23"/>
        <v>172.8864</v>
      </c>
    </row>
    <row r="329" spans="3:8" ht="0.75" customHeight="1">
      <c r="C329" s="8">
        <v>2000</v>
      </c>
      <c r="D329" s="32">
        <v>918</v>
      </c>
      <c r="E329" s="32">
        <v>167027</v>
      </c>
      <c r="F329" s="32">
        <v>25140</v>
      </c>
      <c r="G329" s="1">
        <f t="shared" si="22"/>
        <v>6.64387430389817</v>
      </c>
      <c r="H329" s="1">
        <f t="shared" si="23"/>
        <v>181.94662309368192</v>
      </c>
    </row>
    <row r="330" spans="3:6" ht="0.75" customHeight="1">
      <c r="C330" s="8">
        <v>2001</v>
      </c>
      <c r="D330" s="32"/>
      <c r="E330" s="32"/>
      <c r="F330" s="32"/>
    </row>
    <row r="331" ht="0.75" customHeight="1">
      <c r="C331" s="8">
        <v>2002</v>
      </c>
    </row>
    <row r="332" ht="0.75" customHeight="1">
      <c r="C332" s="8">
        <v>2003</v>
      </c>
    </row>
    <row r="333" ht="0.75" customHeight="1">
      <c r="C333" s="8">
        <v>2004</v>
      </c>
    </row>
    <row r="334" ht="0.75" customHeight="1">
      <c r="C334" s="8">
        <v>2005</v>
      </c>
    </row>
    <row r="335" ht="0.75" customHeight="1">
      <c r="C335" s="8">
        <v>2006</v>
      </c>
    </row>
    <row r="336" ht="0.75" customHeight="1">
      <c r="C336" s="8">
        <v>2007</v>
      </c>
    </row>
    <row r="337" ht="0.75" customHeight="1">
      <c r="C337" s="8">
        <v>2008</v>
      </c>
    </row>
    <row r="338" ht="0.75" customHeight="1">
      <c r="C338" s="8">
        <v>2009</v>
      </c>
    </row>
    <row r="339" ht="0.75" customHeight="1">
      <c r="C339" s="8">
        <v>2010</v>
      </c>
    </row>
    <row r="340" ht="12.75" thickBot="1"/>
    <row r="341" spans="4:10" ht="15" thickBot="1">
      <c r="D341" s="25"/>
      <c r="E341" s="37"/>
      <c r="F341" s="26"/>
      <c r="G341" s="26" t="s">
        <v>70</v>
      </c>
      <c r="H341" s="37"/>
      <c r="I341" s="37"/>
      <c r="J341" s="47"/>
    </row>
    <row r="342" spans="6:7" ht="0.75" customHeight="1">
      <c r="F342" s="12"/>
      <c r="G342" s="12" t="s">
        <v>71</v>
      </c>
    </row>
    <row r="343" spans="2:14" ht="0.75" customHeight="1">
      <c r="B343" s="1"/>
      <c r="C343" s="1" t="s">
        <v>15</v>
      </c>
      <c r="D343" s="1" t="s">
        <v>29</v>
      </c>
      <c r="E343" s="1" t="s">
        <v>16</v>
      </c>
      <c r="F343" s="1" t="s">
        <v>20</v>
      </c>
      <c r="G343" s="2" t="s">
        <v>21</v>
      </c>
      <c r="H343" s="1" t="s">
        <v>72</v>
      </c>
      <c r="I343" s="1" t="s">
        <v>24</v>
      </c>
      <c r="J343" s="2" t="s">
        <v>73</v>
      </c>
      <c r="K343" s="2" t="s">
        <v>74</v>
      </c>
      <c r="L343" s="2" t="s">
        <v>75</v>
      </c>
      <c r="M343" s="2" t="s">
        <v>76</v>
      </c>
      <c r="N343" s="2" t="s">
        <v>19</v>
      </c>
    </row>
    <row r="344" spans="2:14" ht="0.75" customHeight="1">
      <c r="B344" s="8">
        <v>1973</v>
      </c>
      <c r="C344" s="40">
        <v>847651</v>
      </c>
      <c r="D344" s="40">
        <v>314343</v>
      </c>
      <c r="E344" s="40">
        <v>340858</v>
      </c>
      <c r="F344" s="40">
        <v>83479</v>
      </c>
      <c r="G344" s="40"/>
      <c r="H344" s="40">
        <v>272083</v>
      </c>
      <c r="I344" s="40">
        <v>1966</v>
      </c>
      <c r="J344" s="40">
        <v>130</v>
      </c>
      <c r="K344" s="40">
        <v>198</v>
      </c>
      <c r="L344" s="40"/>
      <c r="M344" s="40"/>
      <c r="N344" s="40"/>
    </row>
    <row r="345" spans="2:14" ht="0.75" customHeight="1">
      <c r="B345" s="8">
        <v>1974</v>
      </c>
      <c r="C345" s="40">
        <v>828433</v>
      </c>
      <c r="D345" s="40">
        <v>300931</v>
      </c>
      <c r="E345" s="40">
        <v>320065</v>
      </c>
      <c r="F345" s="40">
        <v>113976</v>
      </c>
      <c r="G345" s="40"/>
      <c r="H345" s="40">
        <v>301032</v>
      </c>
      <c r="I345" s="40">
        <v>2453</v>
      </c>
      <c r="J345" s="40">
        <v>68</v>
      </c>
      <c r="K345" s="40">
        <v>182</v>
      </c>
      <c r="L345" s="40"/>
      <c r="M345" s="40"/>
      <c r="N345" s="40"/>
    </row>
    <row r="346" spans="2:14" ht="0.75" customHeight="1">
      <c r="B346" s="8">
        <v>1975</v>
      </c>
      <c r="C346" s="40">
        <v>852786</v>
      </c>
      <c r="D346" s="40">
        <v>289095</v>
      </c>
      <c r="E346" s="40">
        <v>299778</v>
      </c>
      <c r="F346" s="40">
        <v>172505</v>
      </c>
      <c r="G346" s="40"/>
      <c r="H346" s="40">
        <v>300047</v>
      </c>
      <c r="I346" s="40">
        <v>3246</v>
      </c>
      <c r="J346" s="40">
        <v>18</v>
      </c>
      <c r="K346" s="40">
        <v>174</v>
      </c>
      <c r="L346" s="40"/>
      <c r="M346" s="40"/>
      <c r="N346" s="40"/>
    </row>
    <row r="347" spans="2:14" ht="0.75" customHeight="1">
      <c r="B347" s="8">
        <v>1976</v>
      </c>
      <c r="C347" s="40">
        <v>944391</v>
      </c>
      <c r="D347" s="40">
        <v>319988</v>
      </c>
      <c r="E347" s="40">
        <v>294624</v>
      </c>
      <c r="F347" s="40">
        <v>191104</v>
      </c>
      <c r="G347" s="40"/>
      <c r="H347" s="40">
        <v>283707</v>
      </c>
      <c r="I347" s="40">
        <v>3616</v>
      </c>
      <c r="J347" s="40">
        <v>84</v>
      </c>
      <c r="K347" s="40">
        <v>182</v>
      </c>
      <c r="L347" s="40"/>
      <c r="M347" s="40"/>
      <c r="N347" s="40"/>
    </row>
    <row r="348" spans="2:14" ht="0.75" customHeight="1">
      <c r="B348" s="8">
        <v>1977</v>
      </c>
      <c r="C348" s="40">
        <v>985219</v>
      </c>
      <c r="D348" s="40">
        <v>358179</v>
      </c>
      <c r="E348" s="40">
        <v>305505</v>
      </c>
      <c r="F348" s="40">
        <v>250883</v>
      </c>
      <c r="G348" s="40"/>
      <c r="H348" s="40">
        <v>220475</v>
      </c>
      <c r="I348" s="40">
        <v>3582</v>
      </c>
      <c r="J348" s="40">
        <v>308</v>
      </c>
      <c r="K348" s="40">
        <v>173</v>
      </c>
      <c r="L348" s="40"/>
      <c r="M348" s="40"/>
      <c r="N348" s="40"/>
    </row>
    <row r="349" spans="2:14" ht="0.75" customHeight="1">
      <c r="B349" s="8">
        <v>1978</v>
      </c>
      <c r="C349" s="40">
        <v>975742</v>
      </c>
      <c r="D349" s="40">
        <v>365060</v>
      </c>
      <c r="E349" s="40">
        <v>305391</v>
      </c>
      <c r="F349" s="40">
        <v>276403</v>
      </c>
      <c r="G349" s="40"/>
      <c r="H349" s="40">
        <v>280419</v>
      </c>
      <c r="I349" s="40">
        <v>2978</v>
      </c>
      <c r="J349" s="40">
        <v>197</v>
      </c>
      <c r="K349" s="40">
        <v>1490</v>
      </c>
      <c r="L349" s="40"/>
      <c r="M349" s="40"/>
      <c r="N349" s="40"/>
    </row>
    <row r="350" spans="2:14" ht="0.75" customHeight="1">
      <c r="B350" s="8">
        <v>1979</v>
      </c>
      <c r="C350" s="40">
        <v>1075037</v>
      </c>
      <c r="D350" s="40">
        <v>303525</v>
      </c>
      <c r="E350" s="40">
        <v>329485</v>
      </c>
      <c r="F350" s="40">
        <v>255155</v>
      </c>
      <c r="G350" s="40"/>
      <c r="H350" s="40">
        <v>279783</v>
      </c>
      <c r="I350" s="40">
        <v>3889</v>
      </c>
      <c r="J350" s="40">
        <v>300</v>
      </c>
      <c r="K350" s="40">
        <v>198</v>
      </c>
      <c r="L350" s="40"/>
      <c r="M350" s="40"/>
      <c r="N350" s="40"/>
    </row>
    <row r="351" spans="2:14" ht="0.75" customHeight="1">
      <c r="B351" s="8">
        <v>1980</v>
      </c>
      <c r="C351" s="40">
        <v>1161562</v>
      </c>
      <c r="D351" s="40">
        <v>245994</v>
      </c>
      <c r="E351" s="40">
        <v>346240</v>
      </c>
      <c r="F351" s="40">
        <v>251116</v>
      </c>
      <c r="G351" s="40"/>
      <c r="H351" s="40">
        <v>276021</v>
      </c>
      <c r="I351" s="40">
        <v>5073</v>
      </c>
      <c r="J351" s="40">
        <v>275</v>
      </c>
      <c r="K351" s="40">
        <v>158</v>
      </c>
      <c r="L351" s="40"/>
      <c r="M351" s="40"/>
      <c r="N351" s="40"/>
    </row>
    <row r="352" spans="2:14" ht="0.75" customHeight="1">
      <c r="B352" s="8">
        <v>1981</v>
      </c>
      <c r="C352" s="40">
        <v>1203203</v>
      </c>
      <c r="D352" s="40">
        <v>206421</v>
      </c>
      <c r="E352" s="40">
        <v>345777</v>
      </c>
      <c r="F352" s="40">
        <v>272674</v>
      </c>
      <c r="G352" s="40"/>
      <c r="H352" s="40">
        <v>260684</v>
      </c>
      <c r="I352" s="40">
        <v>5686</v>
      </c>
      <c r="J352" s="40">
        <v>245</v>
      </c>
      <c r="K352" s="40">
        <v>123</v>
      </c>
      <c r="L352" s="40"/>
      <c r="M352" s="40"/>
      <c r="N352" s="40"/>
    </row>
    <row r="353" spans="2:14" ht="0.75" customHeight="1">
      <c r="B353" s="8">
        <v>1982</v>
      </c>
      <c r="C353" s="40">
        <v>1192004</v>
      </c>
      <c r="D353" s="40">
        <v>146797</v>
      </c>
      <c r="E353" s="40">
        <v>305260</v>
      </c>
      <c r="F353" s="40">
        <v>282773</v>
      </c>
      <c r="G353" s="40"/>
      <c r="H353" s="40">
        <v>309213</v>
      </c>
      <c r="I353" s="40">
        <v>4843</v>
      </c>
      <c r="J353" s="40">
        <v>196</v>
      </c>
      <c r="K353" s="40">
        <v>125</v>
      </c>
      <c r="L353" s="40"/>
      <c r="M353" s="40"/>
      <c r="N353" s="40"/>
    </row>
    <row r="354" spans="2:14" ht="0.75" customHeight="1">
      <c r="B354" s="8">
        <v>1983</v>
      </c>
      <c r="C354" s="40">
        <v>1259424</v>
      </c>
      <c r="D354" s="40">
        <v>144499</v>
      </c>
      <c r="E354" s="40">
        <v>274098</v>
      </c>
      <c r="F354" s="40">
        <v>293677</v>
      </c>
      <c r="G354" s="40"/>
      <c r="H354" s="40">
        <v>332130</v>
      </c>
      <c r="I354" s="40">
        <v>6075</v>
      </c>
      <c r="J354" s="40">
        <v>216</v>
      </c>
      <c r="K354" s="40">
        <v>163</v>
      </c>
      <c r="L354" s="40"/>
      <c r="M354" s="40"/>
      <c r="N354" s="40"/>
    </row>
    <row r="355" spans="2:14" ht="0.75" customHeight="1">
      <c r="B355" s="8">
        <v>1984</v>
      </c>
      <c r="C355" s="40">
        <v>1341681</v>
      </c>
      <c r="D355" s="40">
        <v>119808</v>
      </c>
      <c r="E355" s="40">
        <v>297394</v>
      </c>
      <c r="F355" s="40">
        <v>327634</v>
      </c>
      <c r="G355" s="40"/>
      <c r="H355" s="40">
        <v>321150</v>
      </c>
      <c r="I355" s="40">
        <v>7741</v>
      </c>
      <c r="J355" s="40">
        <v>461</v>
      </c>
      <c r="K355" s="40">
        <v>425</v>
      </c>
      <c r="L355" s="40">
        <v>3</v>
      </c>
      <c r="M355" s="40"/>
      <c r="N355" s="40"/>
    </row>
    <row r="356" spans="2:14" ht="0.75" customHeight="1">
      <c r="B356" s="8">
        <v>1985</v>
      </c>
      <c r="C356" s="40">
        <v>1402128</v>
      </c>
      <c r="D356" s="40">
        <v>100202</v>
      </c>
      <c r="E356" s="40">
        <v>291946</v>
      </c>
      <c r="F356" s="40">
        <v>383691</v>
      </c>
      <c r="G356" s="40"/>
      <c r="H356" s="40">
        <v>281149</v>
      </c>
      <c r="I356" s="40">
        <v>9325</v>
      </c>
      <c r="J356" s="40">
        <v>743</v>
      </c>
      <c r="K356" s="40">
        <v>640</v>
      </c>
      <c r="L356" s="40">
        <v>12</v>
      </c>
      <c r="M356" s="40"/>
      <c r="N356" s="40"/>
    </row>
    <row r="357" spans="2:14" ht="0.75" customHeight="1">
      <c r="B357" s="8">
        <v>1986</v>
      </c>
      <c r="C357" s="40">
        <v>1385831</v>
      </c>
      <c r="D357" s="40">
        <v>136585</v>
      </c>
      <c r="E357" s="40">
        <v>248508</v>
      </c>
      <c r="F357" s="40">
        <v>414038</v>
      </c>
      <c r="G357" s="40"/>
      <c r="H357" s="40">
        <v>290844</v>
      </c>
      <c r="I357" s="40">
        <v>10308</v>
      </c>
      <c r="J357" s="40">
        <v>492</v>
      </c>
      <c r="K357" s="40">
        <v>685</v>
      </c>
      <c r="L357" s="40">
        <v>16</v>
      </c>
      <c r="M357" s="40"/>
      <c r="N357" s="40"/>
    </row>
    <row r="358" spans="2:14" ht="0.75" customHeight="1">
      <c r="B358" s="8">
        <v>1987</v>
      </c>
      <c r="C358" s="40">
        <v>1463781</v>
      </c>
      <c r="D358" s="40">
        <v>118493</v>
      </c>
      <c r="E358" s="40">
        <v>272621</v>
      </c>
      <c r="F358" s="40">
        <v>455270</v>
      </c>
      <c r="G358" s="40"/>
      <c r="H358" s="40">
        <v>249695</v>
      </c>
      <c r="I358" s="40">
        <v>10775</v>
      </c>
      <c r="J358" s="40">
        <v>783</v>
      </c>
      <c r="K358" s="40">
        <v>694</v>
      </c>
      <c r="L358" s="40">
        <v>18</v>
      </c>
      <c r="M358" s="40"/>
      <c r="N358" s="40"/>
    </row>
    <row r="359" spans="2:14" ht="0.75" customHeight="1">
      <c r="B359" s="8">
        <v>1988</v>
      </c>
      <c r="C359" s="40">
        <v>1540653</v>
      </c>
      <c r="D359" s="40">
        <v>148900</v>
      </c>
      <c r="E359" s="40">
        <v>252801</v>
      </c>
      <c r="F359" s="40">
        <v>526973</v>
      </c>
      <c r="G359" s="40"/>
      <c r="H359" s="40">
        <v>222940</v>
      </c>
      <c r="I359" s="40">
        <v>10300</v>
      </c>
      <c r="J359" s="40">
        <v>936</v>
      </c>
      <c r="K359" s="40">
        <v>738</v>
      </c>
      <c r="L359" s="40">
        <v>14</v>
      </c>
      <c r="M359" s="40"/>
      <c r="N359" s="40"/>
    </row>
    <row r="360" spans="2:14" ht="0.75" customHeight="1">
      <c r="B360" s="8">
        <v>1989</v>
      </c>
      <c r="C360" s="40">
        <v>1553661</v>
      </c>
      <c r="D360" s="40">
        <v>158318</v>
      </c>
      <c r="E360" s="40">
        <v>266598</v>
      </c>
      <c r="F360" s="40">
        <v>529355</v>
      </c>
      <c r="G360" s="40"/>
      <c r="H360" s="40">
        <v>265063</v>
      </c>
      <c r="I360" s="40">
        <v>9342</v>
      </c>
      <c r="J360" s="40">
        <v>972</v>
      </c>
      <c r="K360" s="40">
        <v>993</v>
      </c>
      <c r="L360" s="40">
        <v>10</v>
      </c>
      <c r="M360" s="40">
        <v>3</v>
      </c>
      <c r="N360" s="40"/>
    </row>
    <row r="361" spans="2:14" ht="0.75" customHeight="1">
      <c r="B361" s="8">
        <v>1990</v>
      </c>
      <c r="C361" s="40">
        <v>1559606</v>
      </c>
      <c r="D361" s="40">
        <v>117017</v>
      </c>
      <c r="E361" s="40">
        <v>264089</v>
      </c>
      <c r="F361" s="40">
        <v>576862</v>
      </c>
      <c r="G361" s="40">
        <v>-3508</v>
      </c>
      <c r="H361" s="40">
        <v>283434</v>
      </c>
      <c r="I361" s="40">
        <v>8581</v>
      </c>
      <c r="J361" s="40">
        <v>810</v>
      </c>
      <c r="K361" s="40">
        <v>1257</v>
      </c>
      <c r="L361" s="40"/>
      <c r="M361" s="40">
        <v>2</v>
      </c>
      <c r="N361" s="40"/>
    </row>
    <row r="362" spans="2:14" ht="0.75" customHeight="1">
      <c r="B362" s="8">
        <v>1991</v>
      </c>
      <c r="C362" s="40">
        <v>1551167</v>
      </c>
      <c r="D362" s="40">
        <v>111463</v>
      </c>
      <c r="E362" s="40">
        <v>264172</v>
      </c>
      <c r="F362" s="40">
        <v>612565</v>
      </c>
      <c r="G362" s="40">
        <v>-4541</v>
      </c>
      <c r="H362" s="40">
        <v>280061</v>
      </c>
      <c r="I362" s="40">
        <v>8087</v>
      </c>
      <c r="J362" s="40">
        <v>732</v>
      </c>
      <c r="K362" s="40">
        <v>1314</v>
      </c>
      <c r="L362" s="40"/>
      <c r="M362" s="40">
        <v>3</v>
      </c>
      <c r="N362" s="40"/>
    </row>
    <row r="363" spans="2:14" ht="0.75" customHeight="1">
      <c r="B363" s="8">
        <v>1992</v>
      </c>
      <c r="C363" s="40">
        <v>1575895</v>
      </c>
      <c r="D363" s="40">
        <v>88916</v>
      </c>
      <c r="E363" s="40">
        <v>263872</v>
      </c>
      <c r="F363" s="40">
        <v>618776</v>
      </c>
      <c r="G363" s="40">
        <f>4177</f>
        <v>4177</v>
      </c>
      <c r="H363" s="40">
        <v>243736</v>
      </c>
      <c r="I363" s="40">
        <v>8104</v>
      </c>
      <c r="J363" s="40">
        <v>816</v>
      </c>
      <c r="K363" s="40">
        <v>1276</v>
      </c>
      <c r="L363" s="40"/>
      <c r="M363" s="40">
        <v>3</v>
      </c>
      <c r="N363" s="40"/>
    </row>
    <row r="364" spans="2:14" ht="0.75" customHeight="1">
      <c r="B364" s="8">
        <v>1993</v>
      </c>
      <c r="C364" s="40">
        <v>1639151</v>
      </c>
      <c r="D364" s="40">
        <v>99539</v>
      </c>
      <c r="E364" s="40">
        <v>258915</v>
      </c>
      <c r="F364" s="40">
        <v>610291</v>
      </c>
      <c r="G364" s="40">
        <f>4036</f>
        <v>4036</v>
      </c>
      <c r="H364" s="40">
        <v>269098</v>
      </c>
      <c r="I364" s="40">
        <v>7571</v>
      </c>
      <c r="J364" s="40">
        <v>890</v>
      </c>
      <c r="K364" s="40">
        <v>1100</v>
      </c>
      <c r="L364" s="40"/>
      <c r="M364" s="40">
        <v>4</v>
      </c>
      <c r="N364" s="40"/>
    </row>
    <row r="365" spans="2:14" ht="0.75" customHeight="1">
      <c r="B365" s="8">
        <v>1994</v>
      </c>
      <c r="C365" s="40">
        <v>1635493</v>
      </c>
      <c r="D365" s="40">
        <v>91039</v>
      </c>
      <c r="E365" s="40">
        <v>291115</v>
      </c>
      <c r="F365" s="40">
        <v>640440</v>
      </c>
      <c r="G365" s="40">
        <v>-3378</v>
      </c>
      <c r="H365" s="40">
        <v>247071</v>
      </c>
      <c r="I365" s="40">
        <v>6941</v>
      </c>
      <c r="J365" s="40">
        <v>765</v>
      </c>
      <c r="K365" s="40">
        <v>1224</v>
      </c>
      <c r="L365" s="40"/>
      <c r="M365" s="40">
        <v>3</v>
      </c>
      <c r="N365" s="40"/>
    </row>
    <row r="366" spans="2:14" ht="0.75" customHeight="1">
      <c r="B366" s="8">
        <v>1995</v>
      </c>
      <c r="C366" s="40">
        <v>1652914</v>
      </c>
      <c r="D366" s="40">
        <v>60844</v>
      </c>
      <c r="E366" s="40">
        <v>307306</v>
      </c>
      <c r="F366" s="40">
        <v>673402</v>
      </c>
      <c r="G366" s="40">
        <v>-2725</v>
      </c>
      <c r="H366" s="40">
        <v>296378</v>
      </c>
      <c r="I366" s="40">
        <v>4745</v>
      </c>
      <c r="J366" s="40">
        <v>633</v>
      </c>
      <c r="K366" s="40">
        <v>1016</v>
      </c>
      <c r="L366" s="40">
        <v>11</v>
      </c>
      <c r="M366" s="40">
        <v>4</v>
      </c>
      <c r="N366" s="40"/>
    </row>
    <row r="367" spans="2:14" ht="0.75" customHeight="1">
      <c r="B367" s="8">
        <v>1996</v>
      </c>
      <c r="C367" s="40">
        <v>1737453</v>
      </c>
      <c r="D367" s="40">
        <v>67346</v>
      </c>
      <c r="E367" s="40">
        <v>262730</v>
      </c>
      <c r="F367" s="40">
        <v>674729</v>
      </c>
      <c r="G367" s="40">
        <f>3088</f>
        <v>3088</v>
      </c>
      <c r="H367" s="40">
        <v>331058</v>
      </c>
      <c r="I367" s="40">
        <v>5234</v>
      </c>
      <c r="J367" s="40">
        <v>788</v>
      </c>
      <c r="K367" s="40">
        <v>1179</v>
      </c>
      <c r="L367" s="40">
        <v>10</v>
      </c>
      <c r="M367" s="40">
        <v>3</v>
      </c>
      <c r="N367" s="40"/>
    </row>
    <row r="368" spans="2:14" ht="0.75" customHeight="1">
      <c r="B368" s="8">
        <v>1997</v>
      </c>
      <c r="C368" s="40">
        <v>1787806</v>
      </c>
      <c r="D368" s="40">
        <v>77753</v>
      </c>
      <c r="E368" s="40">
        <v>283625</v>
      </c>
      <c r="F368" s="40">
        <v>628644</v>
      </c>
      <c r="G368" s="40">
        <v>-4041</v>
      </c>
      <c r="H368" s="40">
        <v>341273</v>
      </c>
      <c r="I368" s="40">
        <v>5469</v>
      </c>
      <c r="J368" s="40">
        <v>739</v>
      </c>
      <c r="K368" s="40">
        <v>1244</v>
      </c>
      <c r="L368" s="40">
        <v>6</v>
      </c>
      <c r="M368" s="40">
        <v>3</v>
      </c>
      <c r="N368" s="40"/>
    </row>
    <row r="369" spans="2:14" ht="0.75" customHeight="1">
      <c r="B369" s="8">
        <v>1998</v>
      </c>
      <c r="C369" s="40">
        <v>1807480</v>
      </c>
      <c r="D369" s="40">
        <v>110158</v>
      </c>
      <c r="E369" s="40">
        <v>309222</v>
      </c>
      <c r="F369" s="40">
        <v>673702</v>
      </c>
      <c r="G369" s="40">
        <v>-4441</v>
      </c>
      <c r="H369" s="40">
        <v>308844</v>
      </c>
      <c r="I369" s="40">
        <v>5176</v>
      </c>
      <c r="J369" s="40">
        <v>719</v>
      </c>
      <c r="K369" s="40">
        <v>1305</v>
      </c>
      <c r="L369" s="40">
        <v>3</v>
      </c>
      <c r="M369" s="40">
        <v>3</v>
      </c>
      <c r="N369" s="40"/>
    </row>
    <row r="370" spans="2:14" ht="0.75" customHeight="1">
      <c r="B370" s="8">
        <v>1999</v>
      </c>
      <c r="C370" s="40">
        <v>1767679</v>
      </c>
      <c r="D370" s="40">
        <v>86929</v>
      </c>
      <c r="E370" s="40">
        <v>296381</v>
      </c>
      <c r="F370" s="40">
        <v>725036</v>
      </c>
      <c r="G370" s="40">
        <v>-5982</v>
      </c>
      <c r="H370" s="40">
        <v>299914</v>
      </c>
      <c r="I370" s="40">
        <v>1698</v>
      </c>
      <c r="J370" s="40">
        <v>684</v>
      </c>
      <c r="K370" s="40">
        <v>1307</v>
      </c>
      <c r="L370" s="40">
        <v>23</v>
      </c>
      <c r="M370" s="40">
        <v>3</v>
      </c>
      <c r="N370" s="40"/>
    </row>
    <row r="371" spans="2:14" ht="0.75" customHeight="1">
      <c r="B371" s="8">
        <v>2000</v>
      </c>
      <c r="C371" s="41">
        <f>1409660/(10/12)</f>
        <v>1691592</v>
      </c>
      <c r="D371" s="41">
        <f>56219/(10/12)</f>
        <v>67462.8</v>
      </c>
      <c r="E371" s="41">
        <f>254564/(20/12)</f>
        <v>152738.4</v>
      </c>
      <c r="F371" s="41">
        <f>593385/(10/12)</f>
        <v>712062</v>
      </c>
      <c r="G371" s="41">
        <f>-4502/(10/12)</f>
        <v>-5402.4</v>
      </c>
      <c r="H371" s="41">
        <f>217239/(12/12)</f>
        <v>217239</v>
      </c>
      <c r="I371" s="41">
        <f>126/(10/12)</f>
        <v>151.2</v>
      </c>
      <c r="J371" s="41">
        <f>568/(10/12)</f>
        <v>681.6</v>
      </c>
      <c r="K371" s="41">
        <f>1125/(10/12)</f>
        <v>1350</v>
      </c>
      <c r="L371" s="41">
        <f>17/(10/12)</f>
        <v>20.4</v>
      </c>
      <c r="M371" s="41">
        <v>3</v>
      </c>
      <c r="N371" s="41"/>
    </row>
    <row r="372" ht="0.75" customHeight="1">
      <c r="B372" s="8">
        <v>2001</v>
      </c>
    </row>
    <row r="373" ht="0.75" customHeight="1">
      <c r="B373" s="8">
        <v>2002</v>
      </c>
    </row>
    <row r="374" ht="0.75" customHeight="1">
      <c r="B374" s="8">
        <v>2003</v>
      </c>
    </row>
    <row r="375" ht="0.75" customHeight="1">
      <c r="B375" s="8">
        <v>2004</v>
      </c>
    </row>
    <row r="376" ht="0.75" customHeight="1">
      <c r="B376" s="8">
        <v>2005</v>
      </c>
    </row>
    <row r="377" ht="0.75" customHeight="1">
      <c r="B377" s="8">
        <v>2006</v>
      </c>
    </row>
    <row r="378" ht="0.75" customHeight="1">
      <c r="B378" s="8">
        <v>2007</v>
      </c>
    </row>
    <row r="379" ht="0.75" customHeight="1">
      <c r="B379" s="8">
        <v>2008</v>
      </c>
    </row>
    <row r="380" ht="0.75" customHeight="1">
      <c r="B380" s="8">
        <v>2009</v>
      </c>
    </row>
    <row r="381" ht="0.75" customHeight="1">
      <c r="B381" s="8">
        <v>2010</v>
      </c>
    </row>
    <row r="382" ht="12.75" thickBot="1"/>
    <row r="383" spans="4:11" ht="15" thickBot="1">
      <c r="D383" s="25"/>
      <c r="E383" s="37"/>
      <c r="F383" s="37"/>
      <c r="G383" s="26" t="s">
        <v>77</v>
      </c>
      <c r="H383" s="37"/>
      <c r="I383" s="37"/>
      <c r="J383" s="47"/>
      <c r="K383" s="3"/>
    </row>
    <row r="384" spans="3:14" ht="0.75" customHeight="1">
      <c r="C384" s="1" t="s">
        <v>15</v>
      </c>
      <c r="D384" s="1" t="s">
        <v>29</v>
      </c>
      <c r="E384" s="1" t="s">
        <v>16</v>
      </c>
      <c r="F384" s="1" t="s">
        <v>78</v>
      </c>
      <c r="G384" s="1" t="s">
        <v>20</v>
      </c>
      <c r="H384" s="1" t="s">
        <v>21</v>
      </c>
      <c r="I384" s="1" t="s">
        <v>72</v>
      </c>
      <c r="J384" s="1" t="s">
        <v>24</v>
      </c>
      <c r="K384" s="1" t="s">
        <v>73</v>
      </c>
      <c r="L384" s="1" t="s">
        <v>74</v>
      </c>
      <c r="M384" s="1" t="s">
        <v>75</v>
      </c>
      <c r="N384" s="1" t="s">
        <v>76</v>
      </c>
    </row>
    <row r="385" spans="2:15" ht="0.75" customHeight="1">
      <c r="B385" s="8">
        <v>1973</v>
      </c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</row>
    <row r="386" spans="2:15" ht="0.75" customHeight="1">
      <c r="B386" s="8">
        <v>1974</v>
      </c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</row>
    <row r="387" spans="2:15" ht="0.75" customHeight="1">
      <c r="B387" s="8">
        <v>1975</v>
      </c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</row>
    <row r="388" spans="2:15" ht="0.75" customHeight="1">
      <c r="B388" s="8">
        <v>1976</v>
      </c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</row>
    <row r="389" spans="2:15" ht="0.75" customHeight="1">
      <c r="B389" s="8">
        <v>1977</v>
      </c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</row>
    <row r="390" spans="2:15" ht="0.75" customHeight="1">
      <c r="B390" s="8">
        <v>1978</v>
      </c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</row>
    <row r="391" spans="2:15" ht="0.75" customHeight="1">
      <c r="B391" s="8">
        <v>1979</v>
      </c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</row>
    <row r="392" spans="2:15" ht="0.75" customHeight="1">
      <c r="B392" s="8">
        <v>1980</v>
      </c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</row>
    <row r="393" spans="2:15" ht="0.75" customHeight="1">
      <c r="B393" s="8">
        <v>1981</v>
      </c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</row>
    <row r="394" spans="2:15" ht="0.75" customHeight="1">
      <c r="B394" s="8">
        <v>1982</v>
      </c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</row>
    <row r="395" spans="2:15" ht="0.75" customHeight="1">
      <c r="B395" s="8">
        <v>1983</v>
      </c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</row>
    <row r="396" spans="2:15" ht="0.75" customHeight="1">
      <c r="B396" s="8">
        <v>1984</v>
      </c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</row>
    <row r="397" spans="2:15" ht="0.75" customHeight="1">
      <c r="B397" s="8">
        <v>1985</v>
      </c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</row>
    <row r="398" spans="2:15" ht="0.75" customHeight="1">
      <c r="B398" s="8">
        <v>1986</v>
      </c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</row>
    <row r="399" spans="2:15" ht="0.75" customHeight="1">
      <c r="B399" s="8">
        <v>1987</v>
      </c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</row>
    <row r="400" spans="2:15" ht="0.75" customHeight="1">
      <c r="B400" s="8">
        <v>1988</v>
      </c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</row>
    <row r="401" spans="2:15" ht="0.75" customHeight="1">
      <c r="B401" s="8">
        <v>1989</v>
      </c>
      <c r="C401" s="40">
        <v>30163</v>
      </c>
      <c r="D401" s="40">
        <v>5543</v>
      </c>
      <c r="E401" s="40">
        <v>97343</v>
      </c>
      <c r="F401" s="40"/>
      <c r="G401" s="40">
        <v>47</v>
      </c>
      <c r="H401" s="40"/>
      <c r="I401" s="40">
        <v>8602</v>
      </c>
      <c r="J401" s="40">
        <v>5537</v>
      </c>
      <c r="K401" s="40">
        <v>26765</v>
      </c>
      <c r="L401" s="40">
        <v>8965</v>
      </c>
      <c r="M401" s="40">
        <v>2279</v>
      </c>
      <c r="N401" s="40">
        <v>621</v>
      </c>
      <c r="O401" s="40"/>
    </row>
    <row r="402" spans="2:15" ht="0.75" customHeight="1">
      <c r="B402" s="8">
        <v>1990</v>
      </c>
      <c r="C402" s="40">
        <v>30699</v>
      </c>
      <c r="D402" s="40">
        <v>7031</v>
      </c>
      <c r="E402" s="40">
        <v>114253</v>
      </c>
      <c r="F402" s="40"/>
      <c r="G402" s="40">
        <v>113</v>
      </c>
      <c r="H402" s="40"/>
      <c r="I402" s="40">
        <v>9580</v>
      </c>
      <c r="J402" s="40">
        <v>7207</v>
      </c>
      <c r="K402" s="40">
        <v>29603</v>
      </c>
      <c r="L402" s="40">
        <v>11906</v>
      </c>
      <c r="M402" s="40">
        <v>3035</v>
      </c>
      <c r="N402" s="40">
        <v>644</v>
      </c>
      <c r="O402" s="40"/>
    </row>
    <row r="403" spans="2:15" ht="0.75" customHeight="1">
      <c r="B403" s="8">
        <v>1991</v>
      </c>
      <c r="C403" s="40">
        <v>38773</v>
      </c>
      <c r="D403" s="40">
        <v>7494</v>
      </c>
      <c r="E403" s="40">
        <v>128419</v>
      </c>
      <c r="F403" s="40"/>
      <c r="G403" s="40">
        <v>77</v>
      </c>
      <c r="H403" s="40"/>
      <c r="I403" s="40">
        <v>9446</v>
      </c>
      <c r="J403" s="40">
        <v>7953</v>
      </c>
      <c r="K403" s="40">
        <v>32433</v>
      </c>
      <c r="L403" s="40">
        <v>14435</v>
      </c>
      <c r="M403" s="40">
        <v>3019</v>
      </c>
      <c r="N403" s="40">
        <v>765</v>
      </c>
      <c r="O403" s="40"/>
    </row>
    <row r="404" spans="2:15" ht="0.75" customHeight="1">
      <c r="B404" s="8">
        <v>1992</v>
      </c>
      <c r="C404" s="40">
        <v>45189</v>
      </c>
      <c r="D404" s="40">
        <v>10508</v>
      </c>
      <c r="E404" s="40">
        <v>154429</v>
      </c>
      <c r="F404" s="40"/>
      <c r="G404" s="40">
        <v>65</v>
      </c>
      <c r="H404" s="40"/>
      <c r="I404" s="40">
        <v>9352</v>
      </c>
      <c r="J404" s="40">
        <v>8318</v>
      </c>
      <c r="K404" s="40">
        <v>34764</v>
      </c>
      <c r="L404" s="40">
        <v>16500</v>
      </c>
      <c r="M404" s="40">
        <v>2887</v>
      </c>
      <c r="N404" s="40">
        <v>724</v>
      </c>
      <c r="O404" s="40"/>
    </row>
    <row r="405" spans="2:15" ht="0.75" customHeight="1">
      <c r="B405" s="8">
        <v>1993</v>
      </c>
      <c r="C405" s="40">
        <v>50859</v>
      </c>
      <c r="D405" s="40">
        <v>12814</v>
      </c>
      <c r="E405" s="40">
        <v>169502</v>
      </c>
      <c r="F405" s="40"/>
      <c r="G405" s="40">
        <v>76</v>
      </c>
      <c r="H405" s="40"/>
      <c r="I405" s="40">
        <v>11396</v>
      </c>
      <c r="J405" s="40">
        <v>9454</v>
      </c>
      <c r="K405" s="40">
        <v>35898</v>
      </c>
      <c r="L405" s="40">
        <v>17420</v>
      </c>
      <c r="M405" s="40">
        <v>3022</v>
      </c>
      <c r="N405" s="40">
        <v>870</v>
      </c>
      <c r="O405" s="40"/>
    </row>
    <row r="406" spans="2:15" ht="0.75" customHeight="1">
      <c r="B406" s="8">
        <v>1994</v>
      </c>
      <c r="C406" s="40">
        <v>56197</v>
      </c>
      <c r="D406" s="40">
        <v>14464</v>
      </c>
      <c r="E406" s="40">
        <v>174813</v>
      </c>
      <c r="F406" s="40">
        <v>12110</v>
      </c>
      <c r="G406" s="40">
        <v>52</v>
      </c>
      <c r="H406" s="40"/>
      <c r="I406" s="40">
        <v>13095</v>
      </c>
      <c r="J406" s="40">
        <v>9816</v>
      </c>
      <c r="K406" s="40">
        <v>37039</v>
      </c>
      <c r="L406" s="40">
        <v>17860</v>
      </c>
      <c r="M406" s="40">
        <v>3447</v>
      </c>
      <c r="N406" s="40">
        <v>799</v>
      </c>
      <c r="O406" s="40"/>
    </row>
    <row r="407" spans="2:15" ht="0.75" customHeight="1">
      <c r="B407" s="8">
        <v>1995</v>
      </c>
      <c r="C407" s="40">
        <v>57261</v>
      </c>
      <c r="D407" s="40">
        <v>14416</v>
      </c>
      <c r="E407" s="40">
        <v>191235</v>
      </c>
      <c r="F407" s="40">
        <v>13506</v>
      </c>
      <c r="H407" s="40"/>
      <c r="I407" s="40">
        <v>14628</v>
      </c>
      <c r="J407" s="40">
        <v>9614</v>
      </c>
      <c r="K407" s="40">
        <v>35763</v>
      </c>
      <c r="L407" s="40">
        <v>19263</v>
      </c>
      <c r="M407" s="40">
        <v>3153</v>
      </c>
      <c r="N407" s="40">
        <v>799</v>
      </c>
      <c r="O407" s="40"/>
    </row>
    <row r="408" spans="2:15" ht="0.75" customHeight="1">
      <c r="B408" s="8">
        <v>1996</v>
      </c>
      <c r="C408" s="40">
        <v>58257</v>
      </c>
      <c r="D408" s="40">
        <v>14337</v>
      </c>
      <c r="E408" s="40">
        <v>193106</v>
      </c>
      <c r="F408" s="40">
        <v>14169</v>
      </c>
      <c r="H408" s="40"/>
      <c r="I408" s="40">
        <v>16390</v>
      </c>
      <c r="J408" s="40">
        <v>9892</v>
      </c>
      <c r="K408" s="40">
        <v>35991</v>
      </c>
      <c r="L408" s="40">
        <v>19493</v>
      </c>
      <c r="M408" s="40">
        <v>3366</v>
      </c>
      <c r="N408" s="40">
        <v>876</v>
      </c>
      <c r="O408" s="40"/>
    </row>
    <row r="409" spans="2:15" ht="0.75" customHeight="1">
      <c r="B409" s="8">
        <v>1997</v>
      </c>
      <c r="C409" s="40">
        <v>56298</v>
      </c>
      <c r="D409" s="40">
        <v>15272</v>
      </c>
      <c r="E409" s="40">
        <v>201816</v>
      </c>
      <c r="F409" s="40">
        <v>11175</v>
      </c>
      <c r="H409" s="40"/>
      <c r="I409" s="40">
        <v>17673</v>
      </c>
      <c r="J409" s="40">
        <v>9100</v>
      </c>
      <c r="K409" s="40">
        <v>33492</v>
      </c>
      <c r="L409" s="40">
        <v>19341</v>
      </c>
      <c r="M409" s="40">
        <v>3216</v>
      </c>
      <c r="N409" s="40">
        <v>866</v>
      </c>
      <c r="O409" s="40"/>
    </row>
    <row r="410" spans="2:15" ht="0.75" customHeight="1">
      <c r="B410" s="8">
        <v>1998</v>
      </c>
      <c r="C410" s="40">
        <v>66466</v>
      </c>
      <c r="D410" s="40">
        <v>16775</v>
      </c>
      <c r="E410" s="40">
        <v>231415</v>
      </c>
      <c r="F410" s="40">
        <v>8514</v>
      </c>
      <c r="H410" s="40"/>
      <c r="I410" s="40">
        <v>14486</v>
      </c>
      <c r="J410" s="40">
        <v>9550</v>
      </c>
      <c r="K410" s="40">
        <v>31070</v>
      </c>
      <c r="L410" s="40">
        <v>19981</v>
      </c>
      <c r="M410" s="40">
        <v>2985</v>
      </c>
      <c r="N410" s="40">
        <v>854</v>
      </c>
      <c r="O410" s="40"/>
    </row>
    <row r="411" spans="2:15" ht="0.75" customHeight="1">
      <c r="B411" s="8">
        <v>1999</v>
      </c>
      <c r="C411" s="40">
        <v>113191</v>
      </c>
      <c r="D411" s="40">
        <v>21299</v>
      </c>
      <c r="E411" s="40">
        <v>286727</v>
      </c>
      <c r="F411" s="40">
        <v>10549</v>
      </c>
      <c r="G411" s="43">
        <v>3218</v>
      </c>
      <c r="H411" s="40">
        <v>-179</v>
      </c>
      <c r="I411" s="40">
        <v>19631</v>
      </c>
      <c r="J411" s="40">
        <v>15114</v>
      </c>
      <c r="K411" s="40">
        <v>33984</v>
      </c>
      <c r="L411" s="40">
        <v>25154</v>
      </c>
      <c r="M411" s="40">
        <v>4465</v>
      </c>
      <c r="N411" s="40">
        <v>850</v>
      </c>
      <c r="O411" s="40"/>
    </row>
    <row r="412" spans="2:15" ht="0.75" customHeight="1">
      <c r="B412" s="8">
        <v>2000</v>
      </c>
      <c r="C412" s="42">
        <f>220644/(10/12)</f>
        <v>264772.8</v>
      </c>
      <c r="D412" s="42">
        <f>35931/(10/12)</f>
        <v>43117.2</v>
      </c>
      <c r="E412" s="42">
        <f>269747/(10/12)</f>
        <v>323696.39999999997</v>
      </c>
      <c r="F412" s="42">
        <f>9924/(10/12)</f>
        <v>11908.8</v>
      </c>
      <c r="G412" s="42">
        <f>33051/(10/12)</f>
        <v>39661.2</v>
      </c>
      <c r="H412" s="42">
        <f>-163/(10/12)</f>
        <v>-195.6</v>
      </c>
      <c r="I412" s="42">
        <f>14443/(10/12)</f>
        <v>17331.6</v>
      </c>
      <c r="J412" s="42">
        <f>11409/(10/12)</f>
        <v>13690.8</v>
      </c>
      <c r="K412" s="42">
        <f>36639/(10/12)</f>
        <v>43966.799999999996</v>
      </c>
      <c r="L412" s="42">
        <f>22641/(10/12)</f>
        <v>27169.199999999997</v>
      </c>
      <c r="M412" s="42">
        <f>4351/(10/12)</f>
        <v>5221.2</v>
      </c>
      <c r="N412" s="42">
        <v>850</v>
      </c>
      <c r="O412" s="40"/>
    </row>
    <row r="413" spans="2:15" ht="0.75" customHeight="1">
      <c r="B413" s="8">
        <v>2001</v>
      </c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</row>
    <row r="414" spans="2:15" ht="0.75" customHeight="1">
      <c r="B414" s="8">
        <v>2002</v>
      </c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</row>
    <row r="415" spans="2:15" ht="0.75" customHeight="1">
      <c r="B415" s="8">
        <v>2003</v>
      </c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</row>
    <row r="416" spans="2:15" ht="0.75" customHeight="1">
      <c r="B416" s="8">
        <v>2004</v>
      </c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</row>
    <row r="417" spans="2:15" ht="0.75" customHeight="1">
      <c r="B417" s="8">
        <v>2005</v>
      </c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</row>
    <row r="418" spans="2:15" ht="0.75" customHeight="1">
      <c r="B418" s="8">
        <v>2006</v>
      </c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</row>
    <row r="419" spans="2:15" ht="0.75" customHeight="1">
      <c r="B419" s="8">
        <v>2007</v>
      </c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</row>
    <row r="420" spans="2:15" ht="0.75" customHeight="1">
      <c r="B420" s="8">
        <v>2008</v>
      </c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</row>
    <row r="421" spans="2:15" ht="0.75" customHeight="1">
      <c r="B421" s="8">
        <v>2009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</row>
    <row r="422" spans="2:15" ht="0.75" customHeight="1">
      <c r="B422" s="8">
        <v>2010</v>
      </c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</row>
    <row r="423" ht="12.75" thickBot="1"/>
    <row r="424" spans="4:10" ht="15" thickBot="1">
      <c r="D424" s="13"/>
      <c r="E424" s="18"/>
      <c r="F424" s="18"/>
      <c r="G424" s="26" t="s">
        <v>116</v>
      </c>
      <c r="H424" s="18"/>
      <c r="I424" s="18"/>
      <c r="J424" s="14"/>
    </row>
    <row r="425" spans="4:6" ht="0.75" customHeight="1">
      <c r="D425" s="1" t="s">
        <v>79</v>
      </c>
      <c r="E425" s="1" t="s">
        <v>80</v>
      </c>
      <c r="F425" s="1" t="s">
        <v>19</v>
      </c>
    </row>
    <row r="426" spans="3:6" ht="0.75" customHeight="1">
      <c r="C426" s="8">
        <v>1989</v>
      </c>
      <c r="D426" s="40">
        <f>SUM(C360:M360)</f>
        <v>2784315</v>
      </c>
      <c r="E426" s="40">
        <f>SUM(C401:N401)</f>
        <v>185865</v>
      </c>
      <c r="F426" s="40">
        <f>SUM(D426:E426)</f>
        <v>2970180</v>
      </c>
    </row>
    <row r="427" spans="3:6" ht="0.75" customHeight="1">
      <c r="C427" s="8">
        <v>1990</v>
      </c>
      <c r="D427" s="40">
        <f aca="true" t="shared" si="24" ref="D427:D437">SUM(C361:M361)</f>
        <v>2808150</v>
      </c>
      <c r="E427" s="40">
        <f aca="true" t="shared" si="25" ref="E427:E437">SUM(C402:N402)</f>
        <v>214071</v>
      </c>
      <c r="F427" s="40">
        <f aca="true" t="shared" si="26" ref="F427:F437">SUM(D427:E427)</f>
        <v>3022221</v>
      </c>
    </row>
    <row r="428" spans="3:6" ht="0.75" customHeight="1">
      <c r="C428" s="8">
        <v>1991</v>
      </c>
      <c r="D428" s="40">
        <f t="shared" si="24"/>
        <v>2825023</v>
      </c>
      <c r="E428" s="40">
        <f t="shared" si="25"/>
        <v>242814</v>
      </c>
      <c r="F428" s="40">
        <f t="shared" si="26"/>
        <v>3067837</v>
      </c>
    </row>
    <row r="429" spans="3:6" ht="0.75" customHeight="1">
      <c r="C429" s="8">
        <v>1992</v>
      </c>
      <c r="D429" s="40">
        <f t="shared" si="24"/>
        <v>2805571</v>
      </c>
      <c r="E429" s="40">
        <f t="shared" si="25"/>
        <v>282736</v>
      </c>
      <c r="F429" s="40">
        <f t="shared" si="26"/>
        <v>3088307</v>
      </c>
    </row>
    <row r="430" spans="3:6" ht="0.75" customHeight="1">
      <c r="C430" s="8">
        <v>1993</v>
      </c>
      <c r="D430" s="40">
        <f t="shared" si="24"/>
        <v>2890595</v>
      </c>
      <c r="E430" s="40">
        <f t="shared" si="25"/>
        <v>311311</v>
      </c>
      <c r="F430" s="40">
        <f t="shared" si="26"/>
        <v>3201906</v>
      </c>
    </row>
    <row r="431" spans="3:6" ht="0.75" customHeight="1">
      <c r="C431" s="8">
        <v>1994</v>
      </c>
      <c r="D431" s="40">
        <f t="shared" si="24"/>
        <v>2910713</v>
      </c>
      <c r="E431" s="40">
        <f t="shared" si="25"/>
        <v>339692</v>
      </c>
      <c r="F431" s="40">
        <f t="shared" si="26"/>
        <v>3250405</v>
      </c>
    </row>
    <row r="432" spans="3:6" ht="0.75" customHeight="1">
      <c r="C432" s="8">
        <v>1995</v>
      </c>
      <c r="D432" s="40">
        <f t="shared" si="24"/>
        <v>2994528</v>
      </c>
      <c r="E432" s="40">
        <f t="shared" si="25"/>
        <v>359638</v>
      </c>
      <c r="F432" s="40">
        <f t="shared" si="26"/>
        <v>3354166</v>
      </c>
    </row>
    <row r="433" spans="3:6" ht="0.75" customHeight="1">
      <c r="C433" s="8">
        <v>1996</v>
      </c>
      <c r="D433" s="40">
        <f t="shared" si="24"/>
        <v>3083618</v>
      </c>
      <c r="E433" s="40">
        <f t="shared" si="25"/>
        <v>365877</v>
      </c>
      <c r="F433" s="40">
        <f t="shared" si="26"/>
        <v>3449495</v>
      </c>
    </row>
    <row r="434" spans="3:6" ht="0.75" customHeight="1">
      <c r="C434" s="8">
        <v>1997</v>
      </c>
      <c r="D434" s="40">
        <f t="shared" si="24"/>
        <v>3122521</v>
      </c>
      <c r="E434" s="40">
        <f t="shared" si="25"/>
        <v>368249</v>
      </c>
      <c r="F434" s="40">
        <f t="shared" si="26"/>
        <v>3490770</v>
      </c>
    </row>
    <row r="435" spans="3:6" ht="0.75" customHeight="1">
      <c r="C435" s="8">
        <v>1998</v>
      </c>
      <c r="D435" s="40">
        <f t="shared" si="24"/>
        <v>3212171</v>
      </c>
      <c r="E435" s="40">
        <f t="shared" si="25"/>
        <v>402096</v>
      </c>
      <c r="F435" s="40">
        <f t="shared" si="26"/>
        <v>3614267</v>
      </c>
    </row>
    <row r="436" spans="3:6" ht="0.75" customHeight="1">
      <c r="C436" s="8">
        <v>1999</v>
      </c>
      <c r="D436" s="40">
        <f t="shared" si="24"/>
        <v>3173672</v>
      </c>
      <c r="E436" s="40">
        <f t="shared" si="25"/>
        <v>534003</v>
      </c>
      <c r="F436" s="40">
        <f t="shared" si="26"/>
        <v>3707675</v>
      </c>
    </row>
    <row r="437" spans="3:6" ht="0.75" customHeight="1">
      <c r="C437" s="8">
        <v>2000</v>
      </c>
      <c r="D437" s="40">
        <f t="shared" si="24"/>
        <v>2837898.0000000005</v>
      </c>
      <c r="E437" s="40">
        <f t="shared" si="25"/>
        <v>791190.3999999999</v>
      </c>
      <c r="F437" s="40">
        <f t="shared" si="26"/>
        <v>3629088.4000000004</v>
      </c>
    </row>
    <row r="438" ht="0.75" customHeight="1">
      <c r="C438" s="8">
        <v>2001</v>
      </c>
    </row>
    <row r="439" ht="0.75" customHeight="1">
      <c r="C439" s="8">
        <v>2002</v>
      </c>
    </row>
    <row r="440" ht="0.75" customHeight="1">
      <c r="C440" s="8">
        <v>2003</v>
      </c>
    </row>
    <row r="441" ht="0.75" customHeight="1">
      <c r="C441" s="8">
        <v>2004</v>
      </c>
    </row>
    <row r="442" ht="0.75" customHeight="1">
      <c r="C442" s="8">
        <v>2005</v>
      </c>
    </row>
    <row r="443" ht="0.75" customHeight="1">
      <c r="C443" s="8">
        <v>2006</v>
      </c>
    </row>
    <row r="444" ht="0.75" customHeight="1">
      <c r="C444" s="8">
        <v>2007</v>
      </c>
    </row>
    <row r="445" ht="0.75" customHeight="1">
      <c r="C445" s="8">
        <v>2008</v>
      </c>
    </row>
    <row r="446" ht="0.75" customHeight="1">
      <c r="C446" s="8">
        <v>2009</v>
      </c>
    </row>
    <row r="447" ht="0.75" customHeight="1">
      <c r="C447" s="8">
        <v>2010</v>
      </c>
    </row>
    <row r="448" ht="12.75" thickBot="1"/>
    <row r="449" spans="5:9" ht="15" thickBot="1">
      <c r="E449" s="13"/>
      <c r="F449" s="18"/>
      <c r="G449" s="26" t="s">
        <v>117</v>
      </c>
      <c r="H449" s="18"/>
      <c r="I449" s="14"/>
    </row>
    <row r="450" ht="0.75" customHeight="1">
      <c r="G450" s="2" t="s">
        <v>71</v>
      </c>
    </row>
    <row r="451" spans="4:10" ht="0.75" customHeight="1">
      <c r="D451" s="1" t="s">
        <v>81</v>
      </c>
      <c r="E451" s="1" t="s">
        <v>82</v>
      </c>
      <c r="F451" s="1" t="s">
        <v>83</v>
      </c>
      <c r="G451" s="1" t="s">
        <v>84</v>
      </c>
      <c r="H451" s="1" t="s">
        <v>85</v>
      </c>
      <c r="I451" s="1" t="s">
        <v>86</v>
      </c>
      <c r="J451" s="2" t="s">
        <v>19</v>
      </c>
    </row>
    <row r="452" spans="3:10" ht="0.75" customHeight="1">
      <c r="C452" s="8">
        <v>1973</v>
      </c>
      <c r="D452" s="40">
        <v>579231</v>
      </c>
      <c r="E452" s="40">
        <v>388266</v>
      </c>
      <c r="F452" s="40">
        <v>686085</v>
      </c>
      <c r="G452" s="40">
        <v>59326</v>
      </c>
      <c r="H452" s="40"/>
      <c r="I452" s="40"/>
      <c r="J452" s="40"/>
    </row>
    <row r="453" spans="3:10" ht="0.75" customHeight="1">
      <c r="C453" s="8">
        <v>1974</v>
      </c>
      <c r="D453" s="40">
        <v>578184</v>
      </c>
      <c r="E453" s="40">
        <v>384826</v>
      </c>
      <c r="F453" s="40">
        <v>684875</v>
      </c>
      <c r="G453" s="40">
        <v>58039</v>
      </c>
      <c r="H453" s="40"/>
      <c r="I453" s="40"/>
      <c r="J453" s="40"/>
    </row>
    <row r="454" spans="3:10" ht="0.75" customHeight="1">
      <c r="C454" s="8">
        <v>1975</v>
      </c>
      <c r="D454" s="40">
        <v>588140</v>
      </c>
      <c r="E454" s="40">
        <v>403049</v>
      </c>
      <c r="F454" s="40">
        <v>687680</v>
      </c>
      <c r="G454" s="40">
        <v>68222</v>
      </c>
      <c r="H454" s="40"/>
      <c r="I454" s="40"/>
      <c r="J454" s="40"/>
    </row>
    <row r="455" spans="3:10" ht="0.75" customHeight="1">
      <c r="C455" s="8">
        <v>1976</v>
      </c>
      <c r="D455" s="40">
        <v>606452</v>
      </c>
      <c r="E455" s="40">
        <v>425094</v>
      </c>
      <c r="F455" s="40">
        <v>754069</v>
      </c>
      <c r="G455" s="40">
        <v>69631</v>
      </c>
      <c r="H455" s="40"/>
      <c r="I455" s="40"/>
      <c r="J455" s="40"/>
    </row>
    <row r="456" spans="3:10" ht="0.75" customHeight="1">
      <c r="C456" s="8">
        <v>1977</v>
      </c>
      <c r="D456" s="40">
        <v>645239</v>
      </c>
      <c r="E456" s="40">
        <v>446514</v>
      </c>
      <c r="F456" s="40">
        <v>786037</v>
      </c>
      <c r="G456" s="40">
        <v>70571</v>
      </c>
      <c r="H456" s="40"/>
      <c r="I456" s="40"/>
      <c r="J456" s="40"/>
    </row>
    <row r="457" spans="3:10" ht="0.75" customHeight="1">
      <c r="C457" s="8">
        <v>1978</v>
      </c>
      <c r="D457" s="40">
        <v>674466</v>
      </c>
      <c r="E457" s="40">
        <v>461163</v>
      </c>
      <c r="F457" s="40">
        <v>809078</v>
      </c>
      <c r="G457" s="40">
        <v>73215</v>
      </c>
      <c r="H457" s="40"/>
      <c r="I457" s="40"/>
      <c r="J457" s="40"/>
    </row>
    <row r="458" spans="3:10" ht="0.75" customHeight="1">
      <c r="C458" s="8">
        <v>1979</v>
      </c>
      <c r="D458" s="40">
        <v>682819</v>
      </c>
      <c r="E458" s="40">
        <v>473307</v>
      </c>
      <c r="F458" s="40">
        <v>841903</v>
      </c>
      <c r="G458" s="40">
        <v>7307</v>
      </c>
      <c r="H458" s="40"/>
      <c r="I458" s="40"/>
      <c r="J458" s="40"/>
    </row>
    <row r="459" spans="3:10" ht="0.75" customHeight="1">
      <c r="C459" s="8">
        <v>1980</v>
      </c>
      <c r="D459" s="40">
        <v>717495</v>
      </c>
      <c r="E459" s="40">
        <v>488155</v>
      </c>
      <c r="F459" s="40">
        <v>815067</v>
      </c>
      <c r="G459" s="40">
        <v>73732</v>
      </c>
      <c r="H459" s="40"/>
      <c r="I459" s="40"/>
      <c r="J459" s="40"/>
    </row>
    <row r="460" spans="3:10" ht="0.75" customHeight="1">
      <c r="C460" s="8">
        <v>1981</v>
      </c>
      <c r="D460" s="40">
        <v>722265</v>
      </c>
      <c r="E460" s="40">
        <v>514338</v>
      </c>
      <c r="F460" s="40">
        <v>825743</v>
      </c>
      <c r="G460" s="40">
        <v>84756</v>
      </c>
      <c r="H460" s="40"/>
      <c r="I460" s="40"/>
      <c r="J460" s="40"/>
    </row>
    <row r="461" spans="3:10" ht="0.75" customHeight="1">
      <c r="C461" s="8">
        <v>1982</v>
      </c>
      <c r="D461" s="40">
        <v>729520</v>
      </c>
      <c r="E461" s="40">
        <v>526397</v>
      </c>
      <c r="F461" s="40">
        <v>744949</v>
      </c>
      <c r="G461" s="40">
        <v>85575</v>
      </c>
      <c r="H461" s="40"/>
      <c r="I461" s="40"/>
      <c r="J461" s="40"/>
    </row>
    <row r="462" spans="3:10" ht="0.75" customHeight="1">
      <c r="C462" s="8">
        <v>1983</v>
      </c>
      <c r="D462" s="40">
        <v>750948</v>
      </c>
      <c r="E462" s="40">
        <v>543788</v>
      </c>
      <c r="F462" s="40">
        <v>775999</v>
      </c>
      <c r="G462" s="40">
        <v>80219</v>
      </c>
      <c r="H462" s="40"/>
      <c r="I462" s="40"/>
      <c r="J462" s="40"/>
    </row>
    <row r="463" spans="3:10" ht="0.75" customHeight="1">
      <c r="C463" s="8">
        <v>1984</v>
      </c>
      <c r="D463" s="40">
        <v>780092</v>
      </c>
      <c r="E463" s="40">
        <v>582621</v>
      </c>
      <c r="F463" s="40">
        <v>837836</v>
      </c>
      <c r="G463" s="40">
        <v>85248</v>
      </c>
      <c r="H463" s="40"/>
      <c r="I463" s="40"/>
      <c r="J463" s="40"/>
    </row>
    <row r="464" spans="3:10" ht="0.75" customHeight="1">
      <c r="C464" s="8">
        <v>1985</v>
      </c>
      <c r="D464" s="40">
        <v>793934</v>
      </c>
      <c r="E464" s="40">
        <v>605089</v>
      </c>
      <c r="F464" s="40">
        <v>836772</v>
      </c>
      <c r="G464" s="40">
        <v>87279</v>
      </c>
      <c r="H464" s="40"/>
      <c r="I464" s="40"/>
      <c r="J464" s="40"/>
    </row>
    <row r="465" spans="3:10" ht="0.75" customHeight="1">
      <c r="C465" s="8">
        <v>1986</v>
      </c>
      <c r="D465" s="40">
        <v>819088</v>
      </c>
      <c r="E465" s="40">
        <v>630520</v>
      </c>
      <c r="F465" s="40">
        <v>830531</v>
      </c>
      <c r="G465" s="40">
        <v>88615</v>
      </c>
      <c r="H465" s="40"/>
      <c r="I465" s="40"/>
      <c r="J465" s="40"/>
    </row>
    <row r="466" spans="3:10" ht="0.75" customHeight="1">
      <c r="C466" s="8">
        <v>1987</v>
      </c>
      <c r="D466" s="40">
        <v>850410</v>
      </c>
      <c r="E466" s="40">
        <v>660433</v>
      </c>
      <c r="F466" s="40">
        <v>858233</v>
      </c>
      <c r="G466" s="40">
        <v>88196</v>
      </c>
      <c r="H466" s="40"/>
      <c r="I466" s="40"/>
      <c r="J466" s="40"/>
    </row>
    <row r="467" spans="3:10" ht="0.75" customHeight="1">
      <c r="C467" s="8">
        <v>1988</v>
      </c>
      <c r="D467" s="40">
        <v>892866</v>
      </c>
      <c r="E467" s="40">
        <v>699100</v>
      </c>
      <c r="F467" s="40">
        <v>896498</v>
      </c>
      <c r="G467" s="40">
        <v>89598</v>
      </c>
      <c r="H467" s="40"/>
      <c r="I467" s="40"/>
      <c r="J467" s="40"/>
    </row>
    <row r="468" spans="3:10" ht="0.75" customHeight="1">
      <c r="C468" s="8">
        <v>1989</v>
      </c>
      <c r="D468" s="40">
        <v>905525</v>
      </c>
      <c r="E468" s="40">
        <v>725861</v>
      </c>
      <c r="F468" s="40">
        <v>925659</v>
      </c>
      <c r="G468" s="40">
        <v>89765</v>
      </c>
      <c r="H468" s="40">
        <v>82742</v>
      </c>
      <c r="I468" s="40">
        <v>17687</v>
      </c>
      <c r="J468" s="40"/>
    </row>
    <row r="469" spans="3:10" ht="0.75" customHeight="1">
      <c r="C469" s="8">
        <v>1990</v>
      </c>
      <c r="D469" s="40">
        <v>924019</v>
      </c>
      <c r="E469" s="40">
        <v>751027</v>
      </c>
      <c r="F469" s="40">
        <v>945522</v>
      </c>
      <c r="G469" s="40">
        <v>91988</v>
      </c>
      <c r="H469" s="40">
        <v>84367</v>
      </c>
      <c r="I469" s="40">
        <v>19824</v>
      </c>
      <c r="J469" s="40"/>
    </row>
    <row r="470" spans="3:10" ht="0.75" customHeight="1">
      <c r="C470" s="8">
        <v>1991</v>
      </c>
      <c r="D470" s="40">
        <v>955417</v>
      </c>
      <c r="E470" s="40">
        <v>765664</v>
      </c>
      <c r="F470" s="40">
        <v>946583</v>
      </c>
      <c r="G470" s="40">
        <v>94339</v>
      </c>
      <c r="H470" s="40">
        <v>99623</v>
      </c>
      <c r="I470" s="40">
        <v>11419</v>
      </c>
      <c r="J470" s="40"/>
    </row>
    <row r="471" spans="3:10" ht="0.75" customHeight="1">
      <c r="C471" s="8">
        <v>1992</v>
      </c>
      <c r="D471" s="40">
        <v>935939</v>
      </c>
      <c r="E471" s="40">
        <v>761271</v>
      </c>
      <c r="F471" s="40">
        <v>972714</v>
      </c>
      <c r="G471" s="40">
        <v>93442</v>
      </c>
      <c r="H471" s="40">
        <v>110988</v>
      </c>
      <c r="I471" s="40">
        <v>10786</v>
      </c>
      <c r="J471" s="40"/>
    </row>
    <row r="472" spans="3:10" ht="0.75" customHeight="1">
      <c r="C472" s="8">
        <v>1993</v>
      </c>
      <c r="D472" s="40">
        <v>994781</v>
      </c>
      <c r="E472" s="40">
        <v>794573</v>
      </c>
      <c r="F472" s="40">
        <v>977164</v>
      </c>
      <c r="G472" s="40">
        <v>94944</v>
      </c>
      <c r="H472" s="40">
        <v>111322</v>
      </c>
      <c r="I472" s="40">
        <v>15569</v>
      </c>
      <c r="J472" s="40"/>
    </row>
    <row r="473" spans="3:10" ht="0.75" customHeight="1">
      <c r="C473" s="8">
        <v>1994</v>
      </c>
      <c r="D473" s="40">
        <v>1008482</v>
      </c>
      <c r="E473" s="40">
        <v>820269</v>
      </c>
      <c r="F473" s="40">
        <v>1007981</v>
      </c>
      <c r="G473" s="40">
        <v>97830</v>
      </c>
      <c r="H473" s="40">
        <v>123283</v>
      </c>
      <c r="I473" s="40">
        <v>17626</v>
      </c>
      <c r="J473" s="40"/>
    </row>
    <row r="474" spans="3:10" ht="0.75" customHeight="1">
      <c r="C474" s="8">
        <v>1995</v>
      </c>
      <c r="D474" s="40">
        <v>1042501</v>
      </c>
      <c r="E474" s="40">
        <v>862685</v>
      </c>
      <c r="F474" s="40">
        <v>1012693</v>
      </c>
      <c r="G474" s="40">
        <v>95407</v>
      </c>
      <c r="H474" s="40">
        <v>133609</v>
      </c>
      <c r="I474" s="40">
        <v>15548</v>
      </c>
      <c r="J474" s="40"/>
    </row>
    <row r="475" spans="3:10" ht="0.75" customHeight="1">
      <c r="C475" s="8">
        <v>1996</v>
      </c>
      <c r="D475" s="40">
        <v>1082491</v>
      </c>
      <c r="E475" s="40">
        <v>887425</v>
      </c>
      <c r="F475" s="40">
        <v>1030356</v>
      </c>
      <c r="G475" s="40">
        <v>97539</v>
      </c>
      <c r="H475" s="40">
        <v>134644</v>
      </c>
      <c r="I475" s="40">
        <v>14284</v>
      </c>
      <c r="J475" s="40"/>
    </row>
    <row r="476" spans="3:10" ht="0.75" customHeight="1">
      <c r="C476" s="8">
        <v>1997</v>
      </c>
      <c r="D476" s="40">
        <v>1075767</v>
      </c>
      <c r="E476" s="40">
        <v>928440</v>
      </c>
      <c r="F476" s="40">
        <v>1032653</v>
      </c>
      <c r="G476" s="40">
        <v>102901</v>
      </c>
      <c r="H476" s="40">
        <v>130836</v>
      </c>
      <c r="I476" s="40">
        <v>18147</v>
      </c>
      <c r="J476" s="40"/>
    </row>
    <row r="477" spans="3:10" ht="0.75" customHeight="1">
      <c r="C477" s="8">
        <v>1998</v>
      </c>
      <c r="D477" s="40">
        <v>1127735</v>
      </c>
      <c r="E477" s="40">
        <v>968528</v>
      </c>
      <c r="F477" s="40">
        <v>1040038</v>
      </c>
      <c r="G477" s="40">
        <v>103518</v>
      </c>
      <c r="H477" s="40">
        <v>134041</v>
      </c>
      <c r="I477" s="40">
        <v>25777</v>
      </c>
      <c r="J477" s="40"/>
    </row>
    <row r="478" spans="3:10" ht="0.75" customHeight="1">
      <c r="C478" s="8">
        <v>1999</v>
      </c>
      <c r="D478" s="40">
        <v>1140761</v>
      </c>
      <c r="E478" s="40">
        <v>970601</v>
      </c>
      <c r="F478" s="40">
        <v>1017783</v>
      </c>
      <c r="G478" s="40">
        <v>106754</v>
      </c>
      <c r="H478" s="40">
        <v>147581</v>
      </c>
      <c r="I478" s="40">
        <v>41683</v>
      </c>
      <c r="J478" s="40"/>
    </row>
    <row r="479" spans="3:10" ht="0.75" customHeight="1">
      <c r="C479" s="8">
        <v>2000</v>
      </c>
      <c r="D479" s="42">
        <f>993566/(10/12)</f>
        <v>1192279.2</v>
      </c>
      <c r="E479" s="42">
        <f>867615/(10/12)</f>
        <v>1041138</v>
      </c>
      <c r="F479" s="42">
        <f>898675/(10/12)</f>
        <v>1078410</v>
      </c>
      <c r="G479" s="42">
        <f>93671/(10/12)</f>
        <v>112405.2</v>
      </c>
      <c r="H479" s="42">
        <v>149324</v>
      </c>
      <c r="I479" s="42">
        <v>44223</v>
      </c>
      <c r="J479" s="42"/>
    </row>
    <row r="480" spans="3:10" ht="0.75" customHeight="1">
      <c r="C480" s="8">
        <v>2001</v>
      </c>
      <c r="D480" s="40"/>
      <c r="E480" s="40"/>
      <c r="F480" s="40"/>
      <c r="G480" s="40"/>
      <c r="H480" s="40"/>
      <c r="I480" s="40"/>
      <c r="J480" s="40"/>
    </row>
    <row r="481" spans="3:10" ht="0.75" customHeight="1">
      <c r="C481" s="8">
        <v>2002</v>
      </c>
      <c r="D481" s="40"/>
      <c r="E481" s="40"/>
      <c r="F481" s="40"/>
      <c r="G481" s="40"/>
      <c r="H481" s="40"/>
      <c r="I481" s="40"/>
      <c r="J481" s="40"/>
    </row>
    <row r="482" spans="3:10" ht="0.75" customHeight="1">
      <c r="C482" s="8">
        <v>2003</v>
      </c>
      <c r="D482" s="40"/>
      <c r="E482" s="40"/>
      <c r="F482" s="40"/>
      <c r="G482" s="40"/>
      <c r="H482" s="40"/>
      <c r="I482" s="40"/>
      <c r="J482" s="40"/>
    </row>
    <row r="483" spans="3:10" ht="0.75" customHeight="1">
      <c r="C483" s="8">
        <v>2004</v>
      </c>
      <c r="D483" s="40"/>
      <c r="E483" s="40"/>
      <c r="F483" s="40"/>
      <c r="G483" s="40"/>
      <c r="H483" s="40"/>
      <c r="I483" s="40"/>
      <c r="J483" s="40"/>
    </row>
    <row r="484" spans="3:10" ht="0.75" customHeight="1">
      <c r="C484" s="8">
        <v>2005</v>
      </c>
      <c r="D484" s="40"/>
      <c r="E484" s="40"/>
      <c r="F484" s="40"/>
      <c r="G484" s="40"/>
      <c r="H484" s="40"/>
      <c r="I484" s="40"/>
      <c r="J484" s="40"/>
    </row>
    <row r="485" spans="3:10" ht="0.75" customHeight="1">
      <c r="C485" s="8">
        <v>2006</v>
      </c>
      <c r="D485" s="40"/>
      <c r="E485" s="40"/>
      <c r="F485" s="40"/>
      <c r="G485" s="40"/>
      <c r="H485" s="40"/>
      <c r="I485" s="40"/>
      <c r="J485" s="40"/>
    </row>
    <row r="486" spans="3:10" ht="0.75" customHeight="1">
      <c r="C486" s="8">
        <v>2007</v>
      </c>
      <c r="D486" s="40"/>
      <c r="E486" s="40"/>
      <c r="F486" s="40"/>
      <c r="G486" s="40"/>
      <c r="H486" s="40"/>
      <c r="I486" s="40"/>
      <c r="J486" s="40"/>
    </row>
    <row r="487" spans="3:10" ht="0.75" customHeight="1">
      <c r="C487" s="8">
        <v>2008</v>
      </c>
      <c r="D487" s="40"/>
      <c r="E487" s="40"/>
      <c r="F487" s="40"/>
      <c r="G487" s="40"/>
      <c r="H487" s="40"/>
      <c r="I487" s="40"/>
      <c r="J487" s="40"/>
    </row>
    <row r="488" spans="3:10" ht="0.75" customHeight="1">
      <c r="C488" s="8">
        <v>2009</v>
      </c>
      <c r="D488" s="40"/>
      <c r="E488" s="40"/>
      <c r="F488" s="40"/>
      <c r="G488" s="40"/>
      <c r="H488" s="40"/>
      <c r="I488" s="40"/>
      <c r="J488" s="40"/>
    </row>
    <row r="489" spans="3:10" ht="0.75" customHeight="1">
      <c r="C489" s="8">
        <v>2010</v>
      </c>
      <c r="D489" s="40"/>
      <c r="E489" s="40"/>
      <c r="F489" s="40"/>
      <c r="G489" s="40"/>
      <c r="H489" s="40"/>
      <c r="I489" s="40"/>
      <c r="J489" s="40"/>
    </row>
    <row r="490" ht="12.75" thickBot="1"/>
    <row r="491" spans="4:10" ht="15" thickBot="1">
      <c r="D491" s="13"/>
      <c r="E491" s="18"/>
      <c r="F491" s="18"/>
      <c r="G491" s="26" t="s">
        <v>118</v>
      </c>
      <c r="H491" s="18"/>
      <c r="I491" s="18"/>
      <c r="J491" s="14"/>
    </row>
    <row r="492" spans="3:4" ht="0.75" customHeight="1">
      <c r="C492" s="8">
        <v>1973</v>
      </c>
      <c r="D492" s="1">
        <v>42</v>
      </c>
    </row>
    <row r="493" spans="3:4" ht="0.75" customHeight="1">
      <c r="C493" s="8">
        <v>1974</v>
      </c>
      <c r="D493" s="1">
        <v>55</v>
      </c>
    </row>
    <row r="494" spans="3:4" ht="0.75" customHeight="1">
      <c r="C494" s="8">
        <v>1975</v>
      </c>
      <c r="D494" s="1">
        <v>57</v>
      </c>
    </row>
    <row r="495" spans="3:4" ht="0.75" customHeight="1">
      <c r="C495" s="8">
        <v>1976</v>
      </c>
      <c r="D495" s="1">
        <v>63</v>
      </c>
    </row>
    <row r="496" spans="3:4" ht="0.75" customHeight="1">
      <c r="C496" s="8">
        <v>1977</v>
      </c>
      <c r="D496" s="1">
        <v>67</v>
      </c>
    </row>
    <row r="497" spans="3:4" ht="0.75" customHeight="1">
      <c r="C497" s="8">
        <v>1978</v>
      </c>
      <c r="D497" s="1">
        <v>70</v>
      </c>
    </row>
    <row r="498" spans="3:4" ht="0.75" customHeight="1">
      <c r="C498" s="8">
        <v>1979</v>
      </c>
      <c r="D498" s="1">
        <v>69</v>
      </c>
    </row>
    <row r="499" spans="3:4" ht="0.75" customHeight="1">
      <c r="C499" s="8">
        <v>1980</v>
      </c>
      <c r="D499" s="1">
        <v>71</v>
      </c>
    </row>
    <row r="500" spans="3:4" ht="0.75" customHeight="1">
      <c r="C500" s="8">
        <v>1981</v>
      </c>
      <c r="D500" s="1">
        <v>75</v>
      </c>
    </row>
    <row r="501" spans="3:4" ht="0.75" customHeight="1">
      <c r="C501" s="8">
        <v>1982</v>
      </c>
      <c r="D501" s="1">
        <v>78</v>
      </c>
    </row>
    <row r="502" spans="3:4" ht="0.75" customHeight="1">
      <c r="C502" s="8">
        <v>1983</v>
      </c>
      <c r="D502" s="1">
        <v>81</v>
      </c>
    </row>
    <row r="503" spans="3:4" ht="0.75" customHeight="1">
      <c r="C503" s="8">
        <v>1984</v>
      </c>
      <c r="D503" s="1">
        <v>87</v>
      </c>
    </row>
    <row r="504" spans="3:4" ht="0.75" customHeight="1">
      <c r="C504" s="8">
        <v>1985</v>
      </c>
      <c r="D504" s="1">
        <v>96</v>
      </c>
    </row>
    <row r="505" spans="3:4" ht="0.75" customHeight="1">
      <c r="C505" s="8">
        <v>1986</v>
      </c>
      <c r="D505" s="1">
        <v>101</v>
      </c>
    </row>
    <row r="506" spans="3:4" ht="0.75" customHeight="1">
      <c r="C506" s="8">
        <v>1987</v>
      </c>
      <c r="D506" s="1">
        <v>107</v>
      </c>
    </row>
    <row r="507" spans="3:4" ht="0.75" customHeight="1">
      <c r="C507" s="8">
        <v>1988</v>
      </c>
      <c r="D507" s="1">
        <v>109</v>
      </c>
    </row>
    <row r="508" spans="3:4" ht="0.75" customHeight="1">
      <c r="C508" s="8">
        <v>1989</v>
      </c>
      <c r="D508" s="1">
        <v>111</v>
      </c>
    </row>
    <row r="509" spans="3:4" ht="0.75" customHeight="1">
      <c r="C509" s="8">
        <v>1990</v>
      </c>
      <c r="D509" s="1">
        <v>112</v>
      </c>
    </row>
    <row r="510" spans="3:4" ht="0.75" customHeight="1">
      <c r="C510" s="8">
        <v>1991</v>
      </c>
      <c r="D510" s="1">
        <v>111</v>
      </c>
    </row>
    <row r="511" spans="3:4" ht="0.75" customHeight="1">
      <c r="C511" s="8">
        <v>1992</v>
      </c>
      <c r="D511" s="1">
        <v>109</v>
      </c>
    </row>
    <row r="512" spans="3:4" ht="0.75" customHeight="1">
      <c r="C512" s="8">
        <v>1993</v>
      </c>
      <c r="D512" s="1">
        <v>110</v>
      </c>
    </row>
    <row r="513" spans="3:4" ht="0.75" customHeight="1">
      <c r="C513" s="8">
        <v>1994</v>
      </c>
      <c r="D513" s="1">
        <v>109</v>
      </c>
    </row>
    <row r="514" spans="3:4" ht="0.75" customHeight="1">
      <c r="C514" s="8">
        <v>1995</v>
      </c>
      <c r="D514" s="1">
        <v>109</v>
      </c>
    </row>
    <row r="515" spans="3:4" ht="0.75" customHeight="1">
      <c r="C515" s="8">
        <v>1996</v>
      </c>
      <c r="D515" s="1">
        <v>109</v>
      </c>
    </row>
    <row r="516" spans="3:4" ht="0.75" customHeight="1">
      <c r="C516" s="8">
        <v>1997</v>
      </c>
      <c r="D516" s="1">
        <v>107</v>
      </c>
    </row>
    <row r="517" spans="3:4" ht="0.75" customHeight="1">
      <c r="C517" s="8">
        <v>1998</v>
      </c>
      <c r="D517" s="1">
        <v>104</v>
      </c>
    </row>
    <row r="518" spans="3:4" ht="0.75" customHeight="1">
      <c r="C518" s="8">
        <v>1999</v>
      </c>
      <c r="D518" s="1">
        <v>104</v>
      </c>
    </row>
    <row r="519" spans="3:4" ht="0.75" customHeight="1">
      <c r="C519" s="8">
        <v>2000</v>
      </c>
      <c r="D519" s="1">
        <v>104</v>
      </c>
    </row>
    <row r="520" ht="0.75" customHeight="1">
      <c r="C520" s="8">
        <v>2001</v>
      </c>
    </row>
    <row r="521" ht="0.75" customHeight="1">
      <c r="C521" s="8">
        <v>2002</v>
      </c>
    </row>
    <row r="522" ht="0.75" customHeight="1">
      <c r="C522" s="8">
        <v>2003</v>
      </c>
    </row>
    <row r="523" ht="0.75" customHeight="1">
      <c r="C523" s="8">
        <v>2004</v>
      </c>
    </row>
    <row r="524" ht="0.75" customHeight="1">
      <c r="C524" s="8">
        <v>2005</v>
      </c>
    </row>
    <row r="525" ht="0.75" customHeight="1">
      <c r="C525" s="8">
        <v>2006</v>
      </c>
    </row>
    <row r="526" ht="0.75" customHeight="1">
      <c r="C526" s="8">
        <v>2007</v>
      </c>
    </row>
    <row r="527" ht="0.75" customHeight="1">
      <c r="C527" s="8">
        <v>2008</v>
      </c>
    </row>
    <row r="528" ht="0.75" customHeight="1">
      <c r="C528" s="8">
        <v>2009</v>
      </c>
    </row>
    <row r="529" ht="0.75" customHeight="1">
      <c r="C529" s="8">
        <v>2010</v>
      </c>
    </row>
    <row r="530" ht="12.75" thickBot="1"/>
    <row r="531" spans="5:9" ht="15" thickBot="1">
      <c r="E531" s="13"/>
      <c r="F531" s="18"/>
      <c r="G531" s="26" t="s">
        <v>87</v>
      </c>
      <c r="H531" s="18"/>
      <c r="I531" s="14"/>
    </row>
    <row r="532" spans="2:12" ht="0.75" customHeight="1">
      <c r="B532" s="1"/>
      <c r="C532" s="1" t="s">
        <v>90</v>
      </c>
      <c r="D532" s="1" t="s">
        <v>88</v>
      </c>
      <c r="E532" s="1" t="s">
        <v>89</v>
      </c>
      <c r="F532" s="1" t="s">
        <v>93</v>
      </c>
      <c r="G532" s="1" t="s">
        <v>94</v>
      </c>
      <c r="H532" s="1" t="s">
        <v>95</v>
      </c>
      <c r="K532" s="1" t="s">
        <v>91</v>
      </c>
      <c r="L532" s="1" t="s">
        <v>92</v>
      </c>
    </row>
    <row r="533" spans="2:12" ht="0.75" customHeight="1">
      <c r="B533" s="8">
        <v>1973</v>
      </c>
      <c r="C533" s="1">
        <v>3.89</v>
      </c>
      <c r="D533" s="1">
        <v>6.41</v>
      </c>
      <c r="E533" s="1">
        <v>4.15</v>
      </c>
      <c r="F533" s="1">
        <f>C533/L533</f>
        <v>15.332207207207206</v>
      </c>
      <c r="G533" s="1">
        <f>D533/L533</f>
        <v>25.26463963963964</v>
      </c>
      <c r="H533" s="1">
        <f>E533/L533</f>
        <v>16.35698198198198</v>
      </c>
      <c r="K533" s="1">
        <v>44.4</v>
      </c>
      <c r="L533" s="1">
        <f>K533/$K$560</f>
        <v>0.2537142857142857</v>
      </c>
    </row>
    <row r="534" spans="2:12" ht="0.75" customHeight="1">
      <c r="B534" s="8">
        <v>1974</v>
      </c>
      <c r="C534" s="1">
        <v>6.87</v>
      </c>
      <c r="D534" s="1">
        <v>12.32</v>
      </c>
      <c r="E534" s="1">
        <v>9.07</v>
      </c>
      <c r="F534" s="1">
        <f aca="true" t="shared" si="27" ref="F534:F560">C534/L534</f>
        <v>24.38640973630832</v>
      </c>
      <c r="G534" s="1">
        <f aca="true" t="shared" si="28" ref="G534:G560">D534/L534</f>
        <v>43.73225152129818</v>
      </c>
      <c r="H534" s="1">
        <f aca="true" t="shared" si="29" ref="H534:H560">E534/L534</f>
        <v>32.19574036511157</v>
      </c>
      <c r="K534" s="1">
        <v>49.3</v>
      </c>
      <c r="L534" s="1">
        <f aca="true" t="shared" si="30" ref="L534:L560">K534/$K$560</f>
        <v>0.2817142857142857</v>
      </c>
    </row>
    <row r="535" spans="2:12" ht="0.75" customHeight="1">
      <c r="B535" s="8">
        <v>1975</v>
      </c>
      <c r="C535" s="1">
        <v>7.67</v>
      </c>
      <c r="D535" s="1">
        <v>12.7</v>
      </c>
      <c r="E535" s="1">
        <v>10.38</v>
      </c>
      <c r="F535" s="1">
        <f t="shared" si="27"/>
        <v>24.94888475836431</v>
      </c>
      <c r="G535" s="1">
        <f t="shared" si="28"/>
        <v>41.31040892193308</v>
      </c>
      <c r="H535" s="1">
        <f t="shared" si="29"/>
        <v>33.7639405204461</v>
      </c>
      <c r="K535" s="1">
        <v>53.8</v>
      </c>
      <c r="L535" s="1">
        <f t="shared" si="30"/>
        <v>0.30742857142857144</v>
      </c>
    </row>
    <row r="536" spans="2:12" ht="0.75" customHeight="1">
      <c r="B536" s="8">
        <v>1976</v>
      </c>
      <c r="C536" s="1">
        <v>8.19</v>
      </c>
      <c r="D536" s="1">
        <v>13.32</v>
      </c>
      <c r="E536" s="1">
        <v>10.89</v>
      </c>
      <c r="F536" s="1">
        <f t="shared" si="27"/>
        <v>25.188927943760984</v>
      </c>
      <c r="G536" s="1">
        <f t="shared" si="28"/>
        <v>40.966608084358526</v>
      </c>
      <c r="H536" s="1">
        <f t="shared" si="29"/>
        <v>33.49297012302285</v>
      </c>
      <c r="K536" s="1">
        <v>56.9</v>
      </c>
      <c r="L536" s="1">
        <f t="shared" si="30"/>
        <v>0.3251428571428571</v>
      </c>
    </row>
    <row r="537" spans="2:12" ht="0.75" customHeight="1">
      <c r="B537" s="8">
        <v>1977</v>
      </c>
      <c r="C537" s="1">
        <v>8.57</v>
      </c>
      <c r="D537" s="1">
        <v>14.36</v>
      </c>
      <c r="E537" s="1">
        <v>11.96</v>
      </c>
      <c r="F537" s="1">
        <f t="shared" si="27"/>
        <v>24.748349834983497</v>
      </c>
      <c r="G537" s="1">
        <f t="shared" si="28"/>
        <v>41.46864686468646</v>
      </c>
      <c r="H537" s="1">
        <f t="shared" si="29"/>
        <v>34.537953795379536</v>
      </c>
      <c r="K537" s="1">
        <v>60.6</v>
      </c>
      <c r="L537" s="1">
        <f t="shared" si="30"/>
        <v>0.3462857142857143</v>
      </c>
    </row>
    <row r="538" spans="2:12" ht="0.75" customHeight="1">
      <c r="B538" s="8">
        <v>1978</v>
      </c>
      <c r="C538" s="1">
        <v>9</v>
      </c>
      <c r="D538" s="1">
        <v>14.35</v>
      </c>
      <c r="E538" s="1">
        <v>12.46</v>
      </c>
      <c r="F538" s="1">
        <f t="shared" si="27"/>
        <v>24.15644171779141</v>
      </c>
      <c r="G538" s="1">
        <f t="shared" si="28"/>
        <v>38.516104294478524</v>
      </c>
      <c r="H538" s="1">
        <f t="shared" si="29"/>
        <v>33.44325153374233</v>
      </c>
      <c r="K538" s="1">
        <v>65.2</v>
      </c>
      <c r="L538" s="1">
        <f t="shared" si="30"/>
        <v>0.3725714285714286</v>
      </c>
    </row>
    <row r="539" spans="2:12" ht="0.75" customHeight="1">
      <c r="B539" s="8">
        <v>1979</v>
      </c>
      <c r="C539" s="1">
        <v>12.64</v>
      </c>
      <c r="D539" s="1">
        <v>21.45</v>
      </c>
      <c r="E539" s="1">
        <v>17.72</v>
      </c>
      <c r="F539" s="1">
        <f t="shared" si="27"/>
        <v>30.468319559228654</v>
      </c>
      <c r="G539" s="1">
        <f t="shared" si="28"/>
        <v>51.70454545454546</v>
      </c>
      <c r="H539" s="1">
        <f t="shared" si="29"/>
        <v>42.71349862258953</v>
      </c>
      <c r="K539" s="1">
        <v>72.6</v>
      </c>
      <c r="L539" s="1">
        <f t="shared" si="30"/>
        <v>0.4148571428571428</v>
      </c>
    </row>
    <row r="540" spans="2:12" ht="0.75" customHeight="1">
      <c r="B540" s="8">
        <v>1980</v>
      </c>
      <c r="C540" s="1">
        <v>21.59</v>
      </c>
      <c r="D540" s="1">
        <v>33.67</v>
      </c>
      <c r="E540" s="1">
        <v>28.07</v>
      </c>
      <c r="F540" s="1">
        <f t="shared" si="27"/>
        <v>45.852548543689316</v>
      </c>
      <c r="G540" s="1">
        <f t="shared" si="28"/>
        <v>71.50788834951456</v>
      </c>
      <c r="H540" s="1">
        <f t="shared" si="29"/>
        <v>59.61468446601942</v>
      </c>
      <c r="K540" s="1">
        <v>82.4</v>
      </c>
      <c r="L540" s="1">
        <f t="shared" si="30"/>
        <v>0.47085714285714286</v>
      </c>
    </row>
    <row r="541" spans="2:12" ht="0.75" customHeight="1">
      <c r="B541" s="8">
        <v>1981</v>
      </c>
      <c r="C541" s="1">
        <v>31.77</v>
      </c>
      <c r="D541" s="1">
        <v>36.47</v>
      </c>
      <c r="E541" s="1">
        <v>35.24</v>
      </c>
      <c r="F541" s="1">
        <f t="shared" si="27"/>
        <v>61.16336633663366</v>
      </c>
      <c r="G541" s="1">
        <f t="shared" si="28"/>
        <v>70.21177117711771</v>
      </c>
      <c r="H541" s="1">
        <f t="shared" si="29"/>
        <v>67.84378437843785</v>
      </c>
      <c r="K541" s="1">
        <v>90.9</v>
      </c>
      <c r="L541" s="1">
        <f t="shared" si="30"/>
        <v>0.5194285714285715</v>
      </c>
    </row>
    <row r="542" spans="2:12" ht="0.75" customHeight="1">
      <c r="B542" s="8">
        <v>1982</v>
      </c>
      <c r="C542" s="1">
        <v>28.52</v>
      </c>
      <c r="D542" s="1">
        <v>33.18</v>
      </c>
      <c r="E542" s="1">
        <v>31.87</v>
      </c>
      <c r="F542" s="1">
        <f t="shared" si="27"/>
        <v>51.72020725388602</v>
      </c>
      <c r="G542" s="1">
        <f t="shared" si="28"/>
        <v>60.17098445595855</v>
      </c>
      <c r="H542" s="1">
        <f t="shared" si="29"/>
        <v>57.79533678756477</v>
      </c>
      <c r="K542" s="1">
        <v>96.5</v>
      </c>
      <c r="L542" s="1">
        <f t="shared" si="30"/>
        <v>0.5514285714285714</v>
      </c>
    </row>
    <row r="543" spans="2:12" ht="0.75" customHeight="1">
      <c r="B543" s="8">
        <v>1983</v>
      </c>
      <c r="C543" s="1">
        <v>26.19</v>
      </c>
      <c r="D543" s="1">
        <v>28.93</v>
      </c>
      <c r="E543" s="1">
        <v>28.99</v>
      </c>
      <c r="F543" s="1">
        <f t="shared" si="27"/>
        <v>46.01656626506025</v>
      </c>
      <c r="G543" s="1">
        <f t="shared" si="28"/>
        <v>50.8308232931727</v>
      </c>
      <c r="H543" s="1">
        <f t="shared" si="29"/>
        <v>50.936244979919685</v>
      </c>
      <c r="K543" s="1">
        <v>99.6</v>
      </c>
      <c r="L543" s="1">
        <f t="shared" si="30"/>
        <v>0.5691428571428571</v>
      </c>
    </row>
    <row r="544" spans="2:12" ht="0.75" customHeight="1">
      <c r="B544" s="8">
        <v>1984</v>
      </c>
      <c r="C544" s="1">
        <v>25.88</v>
      </c>
      <c r="D544" s="1">
        <v>28.54</v>
      </c>
      <c r="E544" s="1">
        <v>28.63</v>
      </c>
      <c r="F544" s="1">
        <f t="shared" si="27"/>
        <v>43.58999037536092</v>
      </c>
      <c r="G544" s="1">
        <f t="shared" si="28"/>
        <v>48.070259865255046</v>
      </c>
      <c r="H544" s="1">
        <f t="shared" si="29"/>
        <v>48.221847930702594</v>
      </c>
      <c r="K544" s="1">
        <v>103.9</v>
      </c>
      <c r="L544" s="1">
        <f t="shared" si="30"/>
        <v>0.5937142857142857</v>
      </c>
    </row>
    <row r="545" spans="2:12" ht="0.75" customHeight="1">
      <c r="B545" s="8">
        <v>1985</v>
      </c>
      <c r="C545" s="1">
        <v>24.09</v>
      </c>
      <c r="D545" s="1">
        <v>26.67</v>
      </c>
      <c r="E545" s="1">
        <v>26.75</v>
      </c>
      <c r="F545" s="1">
        <f t="shared" si="27"/>
        <v>39.17983271375464</v>
      </c>
      <c r="G545" s="1">
        <f t="shared" si="28"/>
        <v>43.37592936802974</v>
      </c>
      <c r="H545" s="1">
        <f t="shared" si="29"/>
        <v>43.506040892193305</v>
      </c>
      <c r="K545" s="1">
        <v>107.6</v>
      </c>
      <c r="L545" s="1">
        <f t="shared" si="30"/>
        <v>0.6148571428571429</v>
      </c>
    </row>
    <row r="546" spans="2:12" ht="0.75" customHeight="1">
      <c r="B546" s="8">
        <v>1986</v>
      </c>
      <c r="C546" s="1">
        <v>12.51</v>
      </c>
      <c r="D546" s="1">
        <v>13.49</v>
      </c>
      <c r="E546" s="1">
        <v>14.55</v>
      </c>
      <c r="F546" s="1">
        <f t="shared" si="27"/>
        <v>19.97490875912409</v>
      </c>
      <c r="G546" s="1">
        <f t="shared" si="28"/>
        <v>21.5396897810219</v>
      </c>
      <c r="H546" s="1">
        <f t="shared" si="29"/>
        <v>23.232208029197082</v>
      </c>
      <c r="K546" s="1">
        <v>109.6</v>
      </c>
      <c r="L546" s="1">
        <f t="shared" si="30"/>
        <v>0.6262857142857142</v>
      </c>
    </row>
    <row r="547" spans="2:12" ht="0.75" customHeight="1">
      <c r="B547" s="8">
        <v>1987</v>
      </c>
      <c r="C547" s="1">
        <v>15.4</v>
      </c>
      <c r="D547" s="1">
        <v>17.65</v>
      </c>
      <c r="E547" s="1">
        <v>17.9</v>
      </c>
      <c r="F547" s="1">
        <f t="shared" si="27"/>
        <v>23.723591549295776</v>
      </c>
      <c r="G547" s="1">
        <f t="shared" si="28"/>
        <v>27.189700704225352</v>
      </c>
      <c r="H547" s="1">
        <f t="shared" si="29"/>
        <v>27.57482394366197</v>
      </c>
      <c r="K547" s="1">
        <v>113.6</v>
      </c>
      <c r="L547" s="1">
        <f t="shared" si="30"/>
        <v>0.6491428571428571</v>
      </c>
    </row>
    <row r="548" spans="2:12" ht="0.75" customHeight="1">
      <c r="B548" s="8">
        <v>1988</v>
      </c>
      <c r="C548" s="1">
        <v>12.58</v>
      </c>
      <c r="D548" s="1">
        <v>14.08</v>
      </c>
      <c r="E548" s="1">
        <v>14.67</v>
      </c>
      <c r="F548" s="1">
        <f t="shared" si="27"/>
        <v>18.609467455621303</v>
      </c>
      <c r="G548" s="1">
        <f t="shared" si="28"/>
        <v>20.82840236686391</v>
      </c>
      <c r="H548" s="1">
        <f t="shared" si="29"/>
        <v>21.701183431952664</v>
      </c>
      <c r="K548" s="1">
        <v>118.3</v>
      </c>
      <c r="L548" s="1">
        <f t="shared" si="30"/>
        <v>0.6759999999999999</v>
      </c>
    </row>
    <row r="549" spans="2:12" ht="0.75" customHeight="1">
      <c r="B549" s="8">
        <v>1989</v>
      </c>
      <c r="C549" s="1">
        <v>15.86</v>
      </c>
      <c r="D549" s="1">
        <v>17.68</v>
      </c>
      <c r="E549" s="1">
        <v>17.97</v>
      </c>
      <c r="F549" s="1">
        <f t="shared" si="27"/>
        <v>22.383064516129032</v>
      </c>
      <c r="G549" s="1">
        <f t="shared" si="28"/>
        <v>24.951612903225808</v>
      </c>
      <c r="H549" s="1">
        <f t="shared" si="29"/>
        <v>25.360887096774192</v>
      </c>
      <c r="K549" s="1">
        <v>124</v>
      </c>
      <c r="L549" s="1">
        <f t="shared" si="30"/>
        <v>0.7085714285714285</v>
      </c>
    </row>
    <row r="550" spans="2:12" ht="0.75" customHeight="1">
      <c r="B550" s="8">
        <v>1990</v>
      </c>
      <c r="C550" s="1">
        <v>20.03</v>
      </c>
      <c r="D550" s="1">
        <v>21.13</v>
      </c>
      <c r="E550" s="1">
        <v>22.22</v>
      </c>
      <c r="F550" s="1">
        <f t="shared" si="27"/>
        <v>26.819051262433057</v>
      </c>
      <c r="G550" s="1">
        <f t="shared" si="28"/>
        <v>28.291889824024484</v>
      </c>
      <c r="H550" s="1">
        <f t="shared" si="29"/>
        <v>29.7513389441469</v>
      </c>
      <c r="K550" s="1">
        <v>130.7</v>
      </c>
      <c r="L550" s="1">
        <f t="shared" si="30"/>
        <v>0.7468571428571428</v>
      </c>
    </row>
    <row r="551" spans="2:12" ht="0.75" customHeight="1">
      <c r="B551" s="8">
        <v>1991</v>
      </c>
      <c r="C551" s="1">
        <v>16.54</v>
      </c>
      <c r="D551" s="1">
        <v>18.02</v>
      </c>
      <c r="E551" s="1">
        <v>19.06</v>
      </c>
      <c r="F551" s="1">
        <f t="shared" si="27"/>
        <v>21.251835535976504</v>
      </c>
      <c r="G551" s="1">
        <f t="shared" si="28"/>
        <v>23.15345080763583</v>
      </c>
      <c r="H551" s="1">
        <f t="shared" si="29"/>
        <v>24.48972099853157</v>
      </c>
      <c r="K551" s="1">
        <v>136.2</v>
      </c>
      <c r="L551" s="1">
        <f t="shared" si="30"/>
        <v>0.7782857142857142</v>
      </c>
    </row>
    <row r="552" spans="2:12" ht="0.75" customHeight="1">
      <c r="B552" s="8">
        <v>1992</v>
      </c>
      <c r="C552" s="1">
        <v>15.99</v>
      </c>
      <c r="D552" s="1">
        <v>17.75</v>
      </c>
      <c r="E552" s="1">
        <v>18.43</v>
      </c>
      <c r="F552" s="1">
        <f t="shared" si="27"/>
        <v>19.9447612259444</v>
      </c>
      <c r="G552" s="1">
        <f t="shared" si="28"/>
        <v>22.14005702066999</v>
      </c>
      <c r="H552" s="1">
        <f t="shared" si="29"/>
        <v>22.988239486813967</v>
      </c>
      <c r="K552" s="1">
        <v>140.3</v>
      </c>
      <c r="L552" s="1">
        <f t="shared" si="30"/>
        <v>0.8017142857142858</v>
      </c>
    </row>
    <row r="553" spans="2:12" ht="0.75" customHeight="1">
      <c r="B553" s="8">
        <v>1993</v>
      </c>
      <c r="C553" s="1">
        <v>14.25</v>
      </c>
      <c r="D553" s="1">
        <v>15.72</v>
      </c>
      <c r="E553" s="1">
        <v>16.41</v>
      </c>
      <c r="F553" s="1">
        <f t="shared" si="27"/>
        <v>17.257785467128027</v>
      </c>
      <c r="G553" s="1">
        <f t="shared" si="28"/>
        <v>19.038062283737023</v>
      </c>
      <c r="H553" s="1">
        <f t="shared" si="29"/>
        <v>19.87370242214533</v>
      </c>
      <c r="K553" s="1">
        <v>144.5</v>
      </c>
      <c r="L553" s="1">
        <f t="shared" si="30"/>
        <v>0.8257142857142857</v>
      </c>
    </row>
    <row r="554" spans="2:12" ht="0.75" customHeight="1">
      <c r="B554" s="8">
        <v>1994</v>
      </c>
      <c r="C554" s="1">
        <v>13.19</v>
      </c>
      <c r="D554" s="1">
        <v>15.18</v>
      </c>
      <c r="E554" s="1">
        <v>15.59</v>
      </c>
      <c r="F554" s="1">
        <f t="shared" si="27"/>
        <v>15.575236167341432</v>
      </c>
      <c r="G554" s="1">
        <f t="shared" si="28"/>
        <v>17.9251012145749</v>
      </c>
      <c r="H554" s="1">
        <f t="shared" si="29"/>
        <v>18.409244264507425</v>
      </c>
      <c r="K554" s="1">
        <v>148.2</v>
      </c>
      <c r="L554" s="1">
        <f t="shared" si="30"/>
        <v>0.8468571428571428</v>
      </c>
    </row>
    <row r="555" spans="2:12" ht="0.75" customHeight="1">
      <c r="B555" s="8">
        <v>1995</v>
      </c>
      <c r="C555" s="1">
        <v>14.62</v>
      </c>
      <c r="D555" s="1">
        <v>16.78</v>
      </c>
      <c r="E555" s="1">
        <v>17.23</v>
      </c>
      <c r="F555" s="1">
        <f t="shared" si="27"/>
        <v>16.78805774278215</v>
      </c>
      <c r="G555" s="1">
        <f t="shared" si="28"/>
        <v>19.268372703412073</v>
      </c>
      <c r="H555" s="1">
        <f t="shared" si="29"/>
        <v>19.78510498687664</v>
      </c>
      <c r="K555" s="1">
        <v>152.4</v>
      </c>
      <c r="L555" s="1">
        <f t="shared" si="30"/>
        <v>0.8708571428571429</v>
      </c>
    </row>
    <row r="556" spans="2:12" ht="0.75" customHeight="1">
      <c r="B556" s="8">
        <v>1996</v>
      </c>
      <c r="C556" s="1">
        <v>18.46</v>
      </c>
      <c r="D556" s="1">
        <v>20.31</v>
      </c>
      <c r="E556" s="1">
        <v>20.71</v>
      </c>
      <c r="F556" s="1">
        <f t="shared" si="27"/>
        <v>20.589547482472913</v>
      </c>
      <c r="G556" s="1">
        <f t="shared" si="28"/>
        <v>22.652963671128106</v>
      </c>
      <c r="H556" s="1">
        <f t="shared" si="29"/>
        <v>23.09910771191842</v>
      </c>
      <c r="K556" s="1">
        <v>156.9</v>
      </c>
      <c r="L556" s="1">
        <f t="shared" si="30"/>
        <v>0.8965714285714286</v>
      </c>
    </row>
    <row r="557" spans="2:12" ht="0.75" customHeight="1">
      <c r="B557" s="8">
        <v>1997</v>
      </c>
      <c r="C557" s="1">
        <v>17.23</v>
      </c>
      <c r="D557" s="1">
        <v>18.11</v>
      </c>
      <c r="E557" s="1">
        <v>19.04</v>
      </c>
      <c r="F557" s="1">
        <f t="shared" si="27"/>
        <v>18.786604361370717</v>
      </c>
      <c r="G557" s="1">
        <f t="shared" si="28"/>
        <v>19.746105919003114</v>
      </c>
      <c r="H557" s="1">
        <f t="shared" si="29"/>
        <v>20.760124610591898</v>
      </c>
      <c r="K557" s="1">
        <v>160.5</v>
      </c>
      <c r="L557" s="1">
        <f t="shared" si="30"/>
        <v>0.9171428571428571</v>
      </c>
    </row>
    <row r="558" spans="2:12" ht="0.75" customHeight="1">
      <c r="B558" s="8">
        <v>1998</v>
      </c>
      <c r="C558" s="1">
        <v>10.87</v>
      </c>
      <c r="D558" s="1">
        <v>11.84</v>
      </c>
      <c r="E558" s="1">
        <v>12.52</v>
      </c>
      <c r="F558" s="1">
        <f t="shared" si="27"/>
        <v>11.670245398773005</v>
      </c>
      <c r="G558" s="1">
        <f t="shared" si="28"/>
        <v>12.711656441717793</v>
      </c>
      <c r="H558" s="1">
        <f t="shared" si="29"/>
        <v>13.441717791411044</v>
      </c>
      <c r="K558" s="1">
        <v>163</v>
      </c>
      <c r="L558" s="1">
        <f t="shared" si="30"/>
        <v>0.9314285714285714</v>
      </c>
    </row>
    <row r="559" spans="2:12" ht="0.75" customHeight="1">
      <c r="B559" s="8">
        <v>1999</v>
      </c>
      <c r="C559" s="1">
        <v>15.56</v>
      </c>
      <c r="D559" s="1">
        <v>17.23</v>
      </c>
      <c r="E559" s="1">
        <v>17.51</v>
      </c>
      <c r="F559" s="1">
        <f t="shared" si="27"/>
        <v>16.344537815126053</v>
      </c>
      <c r="G559" s="1">
        <f t="shared" si="28"/>
        <v>18.09873949579832</v>
      </c>
      <c r="H559" s="1">
        <f t="shared" si="29"/>
        <v>18.392857142857146</v>
      </c>
      <c r="K559" s="1">
        <v>166.6</v>
      </c>
      <c r="L559" s="1">
        <f t="shared" si="30"/>
        <v>0.952</v>
      </c>
    </row>
    <row r="560" spans="2:12" ht="0.75" customHeight="1">
      <c r="B560" s="8">
        <v>2000</v>
      </c>
      <c r="C560" s="1">
        <v>30</v>
      </c>
      <c r="D560" s="1">
        <v>30</v>
      </c>
      <c r="E560" s="1">
        <v>30.58</v>
      </c>
      <c r="F560" s="1">
        <f t="shared" si="27"/>
        <v>30</v>
      </c>
      <c r="G560" s="1">
        <f t="shared" si="28"/>
        <v>30</v>
      </c>
      <c r="H560" s="1">
        <f t="shared" si="29"/>
        <v>30.58</v>
      </c>
      <c r="K560" s="1">
        <v>175</v>
      </c>
      <c r="L560" s="1">
        <f t="shared" si="30"/>
        <v>1</v>
      </c>
    </row>
    <row r="561" ht="0.75" customHeight="1">
      <c r="B561" s="8">
        <v>2001</v>
      </c>
    </row>
    <row r="562" ht="0.75" customHeight="1">
      <c r="B562" s="8">
        <v>2002</v>
      </c>
    </row>
    <row r="563" ht="0.75" customHeight="1">
      <c r="B563" s="8">
        <v>2003</v>
      </c>
    </row>
    <row r="564" ht="0.75" customHeight="1">
      <c r="B564" s="8">
        <v>2004</v>
      </c>
    </row>
    <row r="565" ht="0.75" customHeight="1">
      <c r="B565" s="8">
        <v>2005</v>
      </c>
    </row>
    <row r="566" ht="0.75" customHeight="1">
      <c r="B566" s="8">
        <v>2006</v>
      </c>
    </row>
    <row r="567" ht="0.75" customHeight="1">
      <c r="B567" s="8">
        <v>2007</v>
      </c>
    </row>
    <row r="568" ht="0.75" customHeight="1">
      <c r="B568" s="8">
        <v>2008</v>
      </c>
    </row>
    <row r="569" ht="0.75" customHeight="1">
      <c r="B569" s="8">
        <v>2009</v>
      </c>
    </row>
    <row r="570" ht="0.75" customHeight="1">
      <c r="B570" s="8">
        <v>2010</v>
      </c>
    </row>
    <row r="571" ht="12.75" thickBot="1"/>
    <row r="572" spans="3:11" ht="15" thickBot="1">
      <c r="C572" s="13"/>
      <c r="D572" s="18"/>
      <c r="E572" s="18"/>
      <c r="F572" s="18"/>
      <c r="G572" s="26" t="s">
        <v>104</v>
      </c>
      <c r="H572" s="18"/>
      <c r="I572" s="18"/>
      <c r="J572" s="18"/>
      <c r="K572" s="14"/>
    </row>
    <row r="573" ht="0.75" customHeight="1">
      <c r="E573" s="1" t="s">
        <v>98</v>
      </c>
    </row>
    <row r="574" spans="3:12" ht="0.75" customHeight="1">
      <c r="C574" s="1" t="s">
        <v>99</v>
      </c>
      <c r="D574" s="1" t="s">
        <v>96</v>
      </c>
      <c r="E574" s="1" t="s">
        <v>97</v>
      </c>
      <c r="G574" s="1" t="s">
        <v>100</v>
      </c>
      <c r="H574" s="1" t="s">
        <v>103</v>
      </c>
      <c r="I574" s="1" t="s">
        <v>101</v>
      </c>
      <c r="J574" s="1" t="s">
        <v>102</v>
      </c>
      <c r="K574" s="1" t="s">
        <v>91</v>
      </c>
      <c r="L574" s="1" t="s">
        <v>92</v>
      </c>
    </row>
    <row r="575" spans="2:12" ht="0.75" customHeight="1">
      <c r="B575" s="8">
        <v>1973</v>
      </c>
      <c r="C575" s="1">
        <f>D575*1000/(E575)</f>
        <v>18.384828054518117</v>
      </c>
      <c r="D575" s="1">
        <v>75.808</v>
      </c>
      <c r="E575" s="1">
        <v>4123.4</v>
      </c>
      <c r="G575" s="1">
        <v>13.4</v>
      </c>
      <c r="H575" s="1">
        <v>10.5</v>
      </c>
      <c r="I575" s="1">
        <v>5.5</v>
      </c>
      <c r="J575" s="1">
        <v>11.9</v>
      </c>
      <c r="K575" s="1">
        <v>44.4</v>
      </c>
      <c r="L575" s="1">
        <f>K575/$K$560</f>
        <v>0.2537142857142857</v>
      </c>
    </row>
    <row r="576" spans="2:12" ht="0.75" customHeight="1">
      <c r="B576" s="8">
        <v>1974</v>
      </c>
      <c r="C576" s="1">
        <f aca="true" t="shared" si="31" ref="C576:C601">D576*1000/(E576)</f>
        <v>18.072700658697244</v>
      </c>
      <c r="D576" s="1">
        <v>74.08</v>
      </c>
      <c r="E576" s="1">
        <v>4099</v>
      </c>
      <c r="G576" s="1">
        <v>13.6</v>
      </c>
      <c r="H576" s="1">
        <v>11</v>
      </c>
      <c r="I576" s="1">
        <v>5.5</v>
      </c>
      <c r="J576" s="1">
        <v>12</v>
      </c>
      <c r="K576" s="1">
        <v>49.3</v>
      </c>
      <c r="L576" s="1">
        <f aca="true" t="shared" si="32" ref="L576:L602">K576/$K$560</f>
        <v>0.2817142857142857</v>
      </c>
    </row>
    <row r="577" spans="2:12" ht="0.75" customHeight="1">
      <c r="B577" s="8">
        <v>1975</v>
      </c>
      <c r="C577" s="1">
        <f t="shared" si="31"/>
        <v>17.638331211438643</v>
      </c>
      <c r="D577" s="1">
        <v>72.042</v>
      </c>
      <c r="E577" s="1">
        <v>4084.4</v>
      </c>
      <c r="G577" s="1">
        <v>14</v>
      </c>
      <c r="H577" s="1">
        <v>10.5</v>
      </c>
      <c r="I577" s="1">
        <v>5.6</v>
      </c>
      <c r="J577" s="1">
        <v>12.2</v>
      </c>
      <c r="K577" s="1">
        <v>53.8</v>
      </c>
      <c r="L577" s="1">
        <f t="shared" si="32"/>
        <v>0.30742857142857144</v>
      </c>
    </row>
    <row r="578" spans="2:12" ht="0.75" customHeight="1">
      <c r="B578" s="8">
        <v>1976</v>
      </c>
      <c r="C578" s="1">
        <f t="shared" si="31"/>
        <v>17.64315699144189</v>
      </c>
      <c r="D578" s="1">
        <v>76.072</v>
      </c>
      <c r="E578" s="1">
        <v>4311.7</v>
      </c>
      <c r="G578" s="1">
        <v>13.8</v>
      </c>
      <c r="H578" s="1">
        <v>10.8</v>
      </c>
      <c r="I578" s="1">
        <v>5.6</v>
      </c>
      <c r="J578" s="1">
        <v>12.1</v>
      </c>
      <c r="K578" s="1">
        <v>56.9</v>
      </c>
      <c r="L578" s="1">
        <f t="shared" si="32"/>
        <v>0.3251428571428571</v>
      </c>
    </row>
    <row r="579" spans="2:12" ht="0.75" customHeight="1">
      <c r="B579" s="8">
        <v>1977</v>
      </c>
      <c r="C579" s="1">
        <f t="shared" si="31"/>
        <v>17.315040560308525</v>
      </c>
      <c r="D579" s="1">
        <v>78.122</v>
      </c>
      <c r="E579" s="1">
        <v>4511.8</v>
      </c>
      <c r="G579" s="1">
        <v>14.1</v>
      </c>
      <c r="H579" s="1">
        <v>11.2</v>
      </c>
      <c r="I579" s="1">
        <v>5.6</v>
      </c>
      <c r="J579" s="1">
        <v>12.3</v>
      </c>
      <c r="K579" s="1">
        <v>60.6</v>
      </c>
      <c r="L579" s="1">
        <f t="shared" si="32"/>
        <v>0.3462857142857143</v>
      </c>
    </row>
    <row r="580" spans="2:12" ht="0.75" customHeight="1">
      <c r="B580" s="8">
        <v>1978</v>
      </c>
      <c r="C580" s="1">
        <f t="shared" si="31"/>
        <v>16.83044154098223</v>
      </c>
      <c r="D580" s="1">
        <v>80.123</v>
      </c>
      <c r="E580" s="1">
        <v>4760.6</v>
      </c>
      <c r="G580" s="1">
        <v>14.3</v>
      </c>
      <c r="H580" s="1">
        <v>11.6</v>
      </c>
      <c r="I580" s="1">
        <v>5.5</v>
      </c>
      <c r="J580" s="1">
        <v>12.4</v>
      </c>
      <c r="K580" s="1">
        <v>65.2</v>
      </c>
      <c r="L580" s="1">
        <f t="shared" si="32"/>
        <v>0.3725714285714286</v>
      </c>
    </row>
    <row r="581" spans="2:12" ht="0.75" customHeight="1">
      <c r="B581" s="8">
        <v>1979</v>
      </c>
      <c r="C581" s="1">
        <f t="shared" si="31"/>
        <v>16.498849779116874</v>
      </c>
      <c r="D581" s="1">
        <v>81.044</v>
      </c>
      <c r="E581" s="1">
        <v>4912.1</v>
      </c>
      <c r="G581" s="1">
        <v>14.6</v>
      </c>
      <c r="H581" s="1">
        <v>11.9</v>
      </c>
      <c r="I581" s="1">
        <v>5.5</v>
      </c>
      <c r="J581" s="1">
        <v>12.5</v>
      </c>
      <c r="K581" s="1">
        <v>72.6</v>
      </c>
      <c r="L581" s="1">
        <f t="shared" si="32"/>
        <v>0.4148571428571428</v>
      </c>
    </row>
    <row r="582" spans="2:12" ht="0.75" customHeight="1">
      <c r="B582" s="8">
        <v>1980</v>
      </c>
      <c r="C582" s="1">
        <f t="shared" si="31"/>
        <v>16.004203309596196</v>
      </c>
      <c r="D582" s="1">
        <v>78.435</v>
      </c>
      <c r="E582" s="1">
        <v>4900.9</v>
      </c>
      <c r="G582" s="1">
        <v>16</v>
      </c>
      <c r="H582" s="1">
        <v>12.2</v>
      </c>
      <c r="I582" s="1">
        <v>5.4</v>
      </c>
      <c r="J582" s="1">
        <v>13.3</v>
      </c>
      <c r="K582" s="1">
        <v>82.4</v>
      </c>
      <c r="L582" s="1">
        <f t="shared" si="32"/>
        <v>0.47085714285714286</v>
      </c>
    </row>
    <row r="583" spans="2:12" ht="0.75" customHeight="1">
      <c r="B583" s="8">
        <v>1981</v>
      </c>
      <c r="C583" s="1">
        <f t="shared" si="31"/>
        <v>15.249751045608445</v>
      </c>
      <c r="D583" s="1">
        <v>76.569</v>
      </c>
      <c r="E583" s="1">
        <v>5021</v>
      </c>
      <c r="G583" s="1">
        <v>16.5</v>
      </c>
      <c r="H583" s="1">
        <v>12.5</v>
      </c>
      <c r="I583" s="1">
        <v>5.3</v>
      </c>
      <c r="J583" s="1">
        <v>13.6</v>
      </c>
      <c r="K583" s="1">
        <v>90.9</v>
      </c>
      <c r="L583" s="1">
        <f t="shared" si="32"/>
        <v>0.5194285714285715</v>
      </c>
    </row>
    <row r="584" spans="2:12" ht="0.75" customHeight="1">
      <c r="B584" s="8">
        <v>1982</v>
      </c>
      <c r="C584" s="1">
        <f t="shared" si="31"/>
        <v>14.868782143800948</v>
      </c>
      <c r="D584" s="1">
        <v>73.144</v>
      </c>
      <c r="E584" s="1">
        <v>4919.3</v>
      </c>
      <c r="G584" s="1">
        <v>16.9</v>
      </c>
      <c r="H584" s="1">
        <v>13.5</v>
      </c>
      <c r="I584" s="1">
        <v>5.5</v>
      </c>
      <c r="J584" s="1">
        <v>14.1</v>
      </c>
      <c r="K584" s="1">
        <v>96.5</v>
      </c>
      <c r="L584" s="1">
        <f t="shared" si="32"/>
        <v>0.5514285714285714</v>
      </c>
    </row>
    <row r="585" spans="2:12" ht="0.75" customHeight="1">
      <c r="B585" s="8">
        <v>1983</v>
      </c>
      <c r="C585" s="1">
        <f t="shared" si="31"/>
        <v>14.285408101630848</v>
      </c>
      <c r="D585" s="1">
        <v>73.317</v>
      </c>
      <c r="E585" s="1">
        <v>5132.3</v>
      </c>
      <c r="G585" s="1">
        <v>17.1</v>
      </c>
      <c r="H585" s="1">
        <v>13.7</v>
      </c>
      <c r="I585" s="1">
        <v>5.6</v>
      </c>
      <c r="J585" s="1">
        <v>14.2</v>
      </c>
      <c r="K585" s="1">
        <v>99.6</v>
      </c>
      <c r="L585" s="1">
        <f t="shared" si="32"/>
        <v>0.5691428571428571</v>
      </c>
    </row>
    <row r="586" spans="2:12" ht="0.75" customHeight="1">
      <c r="B586" s="8">
        <v>1984</v>
      </c>
      <c r="C586" s="1">
        <f t="shared" si="31"/>
        <v>13.981690038509047</v>
      </c>
      <c r="D586" s="1">
        <v>76.972</v>
      </c>
      <c r="E586" s="1">
        <v>5505.2</v>
      </c>
      <c r="G586" s="1">
        <v>17.4</v>
      </c>
      <c r="H586" s="1">
        <v>14</v>
      </c>
      <c r="I586" s="1">
        <v>5.7</v>
      </c>
      <c r="J586" s="1">
        <v>14.5</v>
      </c>
      <c r="K586" s="1">
        <v>103.9</v>
      </c>
      <c r="L586" s="1">
        <f t="shared" si="32"/>
        <v>0.5937142857142857</v>
      </c>
    </row>
    <row r="587" spans="2:12" ht="0.75" customHeight="1">
      <c r="B587" s="8">
        <v>1985</v>
      </c>
      <c r="C587" s="1">
        <f t="shared" si="31"/>
        <v>13.42953595354288</v>
      </c>
      <c r="D587" s="1">
        <v>76.778</v>
      </c>
      <c r="E587" s="1">
        <v>5717.1</v>
      </c>
      <c r="G587" s="1">
        <v>17.5</v>
      </c>
      <c r="H587" s="1">
        <v>14.3</v>
      </c>
      <c r="I587" s="1">
        <v>5.8</v>
      </c>
      <c r="J587" s="1">
        <v>14.6</v>
      </c>
      <c r="K587" s="1">
        <v>107.6</v>
      </c>
      <c r="L587" s="1">
        <f t="shared" si="32"/>
        <v>0.6148571428571429</v>
      </c>
    </row>
    <row r="588" spans="2:12" ht="0.75" customHeight="1">
      <c r="B588" s="8">
        <v>1986</v>
      </c>
      <c r="C588" s="1">
        <f t="shared" si="31"/>
        <v>13.03446992760977</v>
      </c>
      <c r="D588" s="1">
        <v>77.065</v>
      </c>
      <c r="E588" s="1">
        <v>5912.4</v>
      </c>
      <c r="G588" s="1">
        <v>17.4</v>
      </c>
      <c r="H588" s="1">
        <v>14.6</v>
      </c>
      <c r="I588" s="1">
        <v>5.8</v>
      </c>
      <c r="J588" s="1">
        <v>14.7</v>
      </c>
      <c r="K588" s="1">
        <v>109.6</v>
      </c>
      <c r="L588" s="1">
        <f t="shared" si="32"/>
        <v>0.6262857142857142</v>
      </c>
    </row>
    <row r="589" spans="2:12" ht="0.75" customHeight="1">
      <c r="B589" s="8">
        <v>1987</v>
      </c>
      <c r="C589" s="1">
        <f t="shared" si="31"/>
        <v>13.026188801465656</v>
      </c>
      <c r="D589" s="1">
        <v>79.633</v>
      </c>
      <c r="E589" s="1">
        <v>6113.3</v>
      </c>
      <c r="G589" s="1">
        <v>18</v>
      </c>
      <c r="H589" s="1">
        <v>14.9</v>
      </c>
      <c r="I589" s="1">
        <v>5.9</v>
      </c>
      <c r="J589" s="1">
        <v>15.1</v>
      </c>
      <c r="K589" s="1">
        <v>113.6</v>
      </c>
      <c r="L589" s="1">
        <f t="shared" si="32"/>
        <v>0.6491428571428571</v>
      </c>
    </row>
    <row r="590" spans="2:12" ht="0.75" customHeight="1">
      <c r="B590" s="8">
        <v>1988</v>
      </c>
      <c r="C590" s="1">
        <f t="shared" si="31"/>
        <v>13.043778657119528</v>
      </c>
      <c r="D590" s="1">
        <v>83.068</v>
      </c>
      <c r="E590" s="1">
        <v>6368.4</v>
      </c>
      <c r="G590" s="1">
        <v>18.8</v>
      </c>
      <c r="H590" s="1">
        <v>15.4</v>
      </c>
      <c r="I590" s="1">
        <v>6</v>
      </c>
      <c r="J590" s="1">
        <v>15.6</v>
      </c>
      <c r="K590" s="1">
        <v>118.3</v>
      </c>
      <c r="L590" s="1">
        <f t="shared" si="32"/>
        <v>0.6759999999999999</v>
      </c>
    </row>
    <row r="591" spans="2:12" ht="0.75" customHeight="1">
      <c r="B591" s="8">
        <v>1989</v>
      </c>
      <c r="C591" s="1">
        <f t="shared" si="31"/>
        <v>12.835189174428836</v>
      </c>
      <c r="D591" s="1">
        <v>84.607</v>
      </c>
      <c r="E591" s="1">
        <v>6591.8</v>
      </c>
      <c r="G591" s="1">
        <v>19</v>
      </c>
      <c r="H591" s="1">
        <v>16.1</v>
      </c>
      <c r="I591" s="1">
        <v>6.1</v>
      </c>
      <c r="J591" s="1">
        <v>15.9</v>
      </c>
      <c r="K591" s="1">
        <v>124</v>
      </c>
      <c r="L591" s="1">
        <f t="shared" si="32"/>
        <v>0.7085714285714285</v>
      </c>
    </row>
    <row r="592" spans="2:12" ht="0.75" customHeight="1">
      <c r="B592" s="8">
        <v>1990</v>
      </c>
      <c r="C592" s="1">
        <f t="shared" si="31"/>
        <v>12.556135380945282</v>
      </c>
      <c r="D592" s="1">
        <v>84.214</v>
      </c>
      <c r="E592" s="1">
        <v>6707</v>
      </c>
      <c r="G592" s="1">
        <v>20.2</v>
      </c>
      <c r="H592" s="1">
        <v>16.1</v>
      </c>
      <c r="I592" s="1">
        <v>6</v>
      </c>
      <c r="J592" s="1">
        <v>16.4</v>
      </c>
      <c r="K592" s="1">
        <v>130.7</v>
      </c>
      <c r="L592" s="1">
        <f t="shared" si="32"/>
        <v>0.7468571428571428</v>
      </c>
    </row>
    <row r="593" spans="2:12" ht="0.75" customHeight="1">
      <c r="B593" s="8">
        <v>1991</v>
      </c>
      <c r="C593" s="1">
        <f t="shared" si="31"/>
        <v>12.622221556527471</v>
      </c>
      <c r="D593" s="1">
        <v>84.271</v>
      </c>
      <c r="E593" s="1">
        <v>6676.4</v>
      </c>
      <c r="G593" s="1">
        <v>21.1</v>
      </c>
      <c r="H593" s="1">
        <v>17</v>
      </c>
      <c r="I593" s="1">
        <v>6</v>
      </c>
      <c r="J593" s="1">
        <v>16.9</v>
      </c>
      <c r="K593" s="1">
        <v>136.2</v>
      </c>
      <c r="L593" s="1">
        <f t="shared" si="32"/>
        <v>0.7782857142857142</v>
      </c>
    </row>
    <row r="594" spans="2:12" ht="0.75" customHeight="1">
      <c r="B594" s="8">
        <v>1992</v>
      </c>
      <c r="C594" s="1">
        <f t="shared" si="31"/>
        <v>12.426017441860465</v>
      </c>
      <c r="D594" s="1">
        <v>85.491</v>
      </c>
      <c r="E594" s="1">
        <v>6880</v>
      </c>
      <c r="G594" s="1">
        <v>21</v>
      </c>
      <c r="H594" s="1">
        <v>17.3</v>
      </c>
      <c r="I594" s="1">
        <v>6</v>
      </c>
      <c r="J594" s="1">
        <v>16.9</v>
      </c>
      <c r="K594" s="1">
        <v>140.3</v>
      </c>
      <c r="L594" s="1">
        <f t="shared" si="32"/>
        <v>0.8017142857142858</v>
      </c>
    </row>
    <row r="595" spans="2:12" ht="0.75" customHeight="1">
      <c r="B595" s="8">
        <v>1993</v>
      </c>
      <c r="C595" s="1">
        <f t="shared" si="31"/>
        <v>12.35819669809985</v>
      </c>
      <c r="D595" s="1">
        <v>87.281</v>
      </c>
      <c r="E595" s="1">
        <v>7062.6</v>
      </c>
      <c r="G595" s="1">
        <v>20.5</v>
      </c>
      <c r="H595" s="1">
        <v>17.4</v>
      </c>
      <c r="I595" s="1">
        <v>6.1</v>
      </c>
      <c r="J595" s="1">
        <v>16.7</v>
      </c>
      <c r="K595" s="1">
        <v>144.5</v>
      </c>
      <c r="L595" s="1">
        <f t="shared" si="32"/>
        <v>0.8257142857142857</v>
      </c>
    </row>
    <row r="596" spans="2:12" ht="0.75" customHeight="1">
      <c r="B596" s="8">
        <v>1994</v>
      </c>
      <c r="C596" s="1">
        <f t="shared" si="31"/>
        <v>12.13835622031384</v>
      </c>
      <c r="D596" s="1">
        <v>89.189</v>
      </c>
      <c r="E596" s="1">
        <v>7347.7</v>
      </c>
      <c r="G596" s="1">
        <v>20.7</v>
      </c>
      <c r="H596" s="1">
        <v>17.3</v>
      </c>
      <c r="I596" s="1">
        <v>6.1</v>
      </c>
      <c r="J596" s="1">
        <v>16.7</v>
      </c>
      <c r="K596" s="1">
        <v>148.2</v>
      </c>
      <c r="L596" s="1">
        <f t="shared" si="32"/>
        <v>0.8468571428571428</v>
      </c>
    </row>
    <row r="597" spans="2:12" ht="0.75" customHeight="1">
      <c r="B597" s="8">
        <v>1995</v>
      </c>
      <c r="C597" s="1">
        <f t="shared" si="31"/>
        <v>12.052811580370635</v>
      </c>
      <c r="D597" s="1">
        <v>90.924</v>
      </c>
      <c r="E597" s="1">
        <v>7543.8</v>
      </c>
      <c r="G597" s="1">
        <v>21.1</v>
      </c>
      <c r="H597" s="1">
        <v>17.3</v>
      </c>
      <c r="I597" s="1">
        <v>6.1</v>
      </c>
      <c r="J597" s="1">
        <v>16.8</v>
      </c>
      <c r="K597" s="1">
        <v>152.4</v>
      </c>
      <c r="L597" s="1">
        <f t="shared" si="32"/>
        <v>0.8708571428571429</v>
      </c>
    </row>
    <row r="598" spans="2:12" ht="0.75" customHeight="1">
      <c r="B598" s="8">
        <v>1996</v>
      </c>
      <c r="C598" s="1">
        <f t="shared" si="31"/>
        <v>12.01837915322787</v>
      </c>
      <c r="D598" s="1">
        <v>93.902</v>
      </c>
      <c r="E598" s="1">
        <v>7813.2</v>
      </c>
      <c r="G598" s="1">
        <v>21.2</v>
      </c>
      <c r="H598" s="1">
        <v>17.2</v>
      </c>
      <c r="I598" s="1">
        <v>6.2</v>
      </c>
      <c r="J598" s="1">
        <v>16.9</v>
      </c>
      <c r="K598" s="1">
        <v>156.9</v>
      </c>
      <c r="L598" s="1">
        <f t="shared" si="32"/>
        <v>0.8965714285714286</v>
      </c>
    </row>
    <row r="599" spans="2:12" ht="0.75" customHeight="1">
      <c r="B599" s="8">
        <v>1997</v>
      </c>
      <c r="C599" s="1">
        <f t="shared" si="31"/>
        <v>11.557938599178872</v>
      </c>
      <c r="D599" s="1">
        <v>94.307</v>
      </c>
      <c r="E599" s="1">
        <v>8159.5</v>
      </c>
      <c r="G599" s="1">
        <v>21.5</v>
      </c>
      <c r="H599" s="1">
        <v>17.2</v>
      </c>
      <c r="I599" s="1">
        <v>6.4</v>
      </c>
      <c r="J599" s="1">
        <v>17</v>
      </c>
      <c r="K599" s="1">
        <v>160.5</v>
      </c>
      <c r="L599" s="1">
        <f t="shared" si="32"/>
        <v>0.9171428571428571</v>
      </c>
    </row>
    <row r="600" spans="2:12" ht="0.75" customHeight="1">
      <c r="B600" s="8">
        <v>1998</v>
      </c>
      <c r="C600" s="1">
        <f t="shared" si="31"/>
        <v>11.1014948859166</v>
      </c>
      <c r="D600" s="1">
        <v>94.537</v>
      </c>
      <c r="E600" s="1">
        <v>8515.7</v>
      </c>
      <c r="G600" s="1">
        <v>21.6</v>
      </c>
      <c r="H600" s="1">
        <v>17.2</v>
      </c>
      <c r="I600" s="1">
        <v>6.1</v>
      </c>
      <c r="J600" s="1">
        <v>16.9</v>
      </c>
      <c r="K600" s="1">
        <v>163</v>
      </c>
      <c r="L600" s="1">
        <f t="shared" si="32"/>
        <v>0.9314285714285714</v>
      </c>
    </row>
    <row r="601" spans="2:12" ht="0.75" customHeight="1">
      <c r="B601" s="8">
        <v>1999</v>
      </c>
      <c r="C601" s="1">
        <f t="shared" si="31"/>
        <v>10.927578359133825</v>
      </c>
      <c r="D601" s="1">
        <v>96.991</v>
      </c>
      <c r="E601" s="1">
        <v>8875.8</v>
      </c>
      <c r="G601" s="1">
        <v>21.4</v>
      </c>
      <c r="H601" s="1">
        <v>17.1</v>
      </c>
      <c r="I601" s="1">
        <v>6.1</v>
      </c>
      <c r="J601" s="1">
        <v>16.8</v>
      </c>
      <c r="K601" s="1">
        <v>166.6</v>
      </c>
      <c r="L601" s="1">
        <f t="shared" si="32"/>
        <v>0.952</v>
      </c>
    </row>
    <row r="602" spans="2:12" ht="0.75" customHeight="1">
      <c r="B602" s="8">
        <v>2000</v>
      </c>
      <c r="K602" s="1">
        <v>175</v>
      </c>
      <c r="L602" s="1">
        <f t="shared" si="32"/>
        <v>1</v>
      </c>
    </row>
    <row r="603" ht="0.75" customHeight="1">
      <c r="B603" s="8">
        <v>2001</v>
      </c>
    </row>
    <row r="604" ht="0.75" customHeight="1">
      <c r="B604" s="8">
        <v>2002</v>
      </c>
    </row>
    <row r="605" ht="0.75" customHeight="1">
      <c r="B605" s="8">
        <v>2003</v>
      </c>
    </row>
    <row r="606" ht="0.75" customHeight="1">
      <c r="B606" s="8">
        <v>2004</v>
      </c>
    </row>
    <row r="607" ht="0.75" customHeight="1">
      <c r="B607" s="8">
        <v>2005</v>
      </c>
    </row>
    <row r="608" ht="0.75" customHeight="1">
      <c r="B608" s="8">
        <v>2006</v>
      </c>
    </row>
    <row r="609" ht="0.75" customHeight="1">
      <c r="B609" s="8">
        <v>2007</v>
      </c>
    </row>
    <row r="610" ht="0.75" customHeight="1">
      <c r="B610" s="8">
        <v>2008</v>
      </c>
    </row>
    <row r="611" ht="0.75" customHeight="1">
      <c r="B611" s="8">
        <v>2009</v>
      </c>
    </row>
    <row r="612" ht="0.75" customHeight="1">
      <c r="B612" s="8">
        <v>2010</v>
      </c>
    </row>
    <row r="613" ht="12.75" thickBot="1"/>
    <row r="614" spans="4:10" ht="15" thickBot="1">
      <c r="D614" s="25"/>
      <c r="E614" s="37"/>
      <c r="F614" s="37"/>
      <c r="G614" s="26" t="s">
        <v>119</v>
      </c>
      <c r="H614" s="37"/>
      <c r="I614" s="37"/>
      <c r="J614" s="47"/>
    </row>
    <row r="615" ht="0.75" customHeight="1">
      <c r="G615" s="2" t="s">
        <v>105</v>
      </c>
    </row>
    <row r="616" spans="3:12" ht="0.75" customHeight="1">
      <c r="C616" s="1" t="s">
        <v>49</v>
      </c>
      <c r="D616" s="1" t="s">
        <v>106</v>
      </c>
      <c r="E616" s="1" t="s">
        <v>107</v>
      </c>
      <c r="F616" s="1" t="s">
        <v>111</v>
      </c>
      <c r="G616" s="1" t="s">
        <v>109</v>
      </c>
      <c r="H616" s="1" t="s">
        <v>108</v>
      </c>
      <c r="I616" s="1" t="s">
        <v>109</v>
      </c>
      <c r="J616" s="1" t="s">
        <v>110</v>
      </c>
      <c r="K616" s="1" t="s">
        <v>91</v>
      </c>
      <c r="L616" s="1" t="s">
        <v>92</v>
      </c>
    </row>
    <row r="617" spans="2:13" ht="0.75" customHeight="1">
      <c r="B617" s="8">
        <v>1973</v>
      </c>
      <c r="C617" s="44">
        <v>30629</v>
      </c>
      <c r="D617" s="44">
        <v>25050</v>
      </c>
      <c r="E617" s="44">
        <f>SUM(C617:D617)</f>
        <v>55679</v>
      </c>
      <c r="F617" s="45">
        <v>6.85</v>
      </c>
      <c r="G617" s="45">
        <v>21.402027027027025</v>
      </c>
      <c r="H617" s="44">
        <f>C617*365</f>
        <v>11179585</v>
      </c>
      <c r="I617" s="45">
        <f aca="true" t="shared" si="33" ref="I617:I644">M617/L617</f>
        <v>21.402027027027025</v>
      </c>
      <c r="J617" s="44">
        <f>H617*I617</f>
        <v>239265780.32094592</v>
      </c>
      <c r="K617" s="1">
        <v>44.4</v>
      </c>
      <c r="L617" s="1">
        <f>K617/$K$560</f>
        <v>0.2537142857142857</v>
      </c>
      <c r="M617" s="1">
        <v>5.43</v>
      </c>
    </row>
    <row r="618" spans="2:13" ht="0.75" customHeight="1">
      <c r="B618" s="8">
        <v>1974</v>
      </c>
      <c r="C618" s="44">
        <v>30351</v>
      </c>
      <c r="D618" s="44">
        <v>25366</v>
      </c>
      <c r="E618" s="44">
        <f aca="true" t="shared" si="34" ref="E618:E644">SUM(C618:D618)</f>
        <v>55717</v>
      </c>
      <c r="F618" s="45">
        <v>12.49</v>
      </c>
      <c r="G618" s="45">
        <v>40.218052738336716</v>
      </c>
      <c r="H618" s="44">
        <f aca="true" t="shared" si="35" ref="H618:H644">C618*365</f>
        <v>11078115</v>
      </c>
      <c r="I618" s="45">
        <f t="shared" si="33"/>
        <v>40.218052738336716</v>
      </c>
      <c r="J618" s="44">
        <f aca="true" t="shared" si="36" ref="J618:J644">H618*I618</f>
        <v>445540213.31135905</v>
      </c>
      <c r="K618" s="1">
        <v>49.3</v>
      </c>
      <c r="L618" s="1">
        <f aca="true" t="shared" si="37" ref="L618:L644">K618/$K$560</f>
        <v>0.2817142857142857</v>
      </c>
      <c r="M618" s="1">
        <v>11.33</v>
      </c>
    </row>
    <row r="619" spans="2:13" ht="0.75" customHeight="1">
      <c r="B619" s="8">
        <v>1975</v>
      </c>
      <c r="C619" s="44">
        <v>26771</v>
      </c>
      <c r="D619" s="44">
        <v>26058</v>
      </c>
      <c r="E619" s="44">
        <f t="shared" si="34"/>
        <v>52829</v>
      </c>
      <c r="F619" s="45">
        <v>12.7</v>
      </c>
      <c r="G619" s="45">
        <v>36.886617100371744</v>
      </c>
      <c r="H619" s="44">
        <f t="shared" si="35"/>
        <v>9771415</v>
      </c>
      <c r="I619" s="45">
        <f t="shared" si="33"/>
        <v>36.886617100371744</v>
      </c>
      <c r="J619" s="44">
        <f t="shared" si="36"/>
        <v>360434443.63382894</v>
      </c>
      <c r="K619" s="1">
        <v>53.8</v>
      </c>
      <c r="L619" s="1">
        <f t="shared" si="37"/>
        <v>0.30742857142857144</v>
      </c>
      <c r="M619" s="1">
        <v>11.34</v>
      </c>
    </row>
    <row r="620" spans="2:13" ht="0.75" customHeight="1">
      <c r="B620" s="8">
        <v>1976</v>
      </c>
      <c r="C620" s="44">
        <v>30327</v>
      </c>
      <c r="D620" s="44">
        <v>27018</v>
      </c>
      <c r="E620" s="44">
        <f t="shared" si="34"/>
        <v>57345</v>
      </c>
      <c r="F620" s="45">
        <v>13.32</v>
      </c>
      <c r="G620" s="45">
        <v>37.614235500878735</v>
      </c>
      <c r="H620" s="44">
        <f t="shared" si="35"/>
        <v>11069355</v>
      </c>
      <c r="I620" s="45">
        <f t="shared" si="33"/>
        <v>37.614235500878735</v>
      </c>
      <c r="J620" s="44">
        <f t="shared" si="36"/>
        <v>416365325.81282955</v>
      </c>
      <c r="K620" s="1">
        <v>56.9</v>
      </c>
      <c r="L620" s="1">
        <f t="shared" si="37"/>
        <v>0.3251428571428571</v>
      </c>
      <c r="M620" s="1">
        <v>12.23</v>
      </c>
    </row>
    <row r="621" spans="2:13" ht="0.75" customHeight="1">
      <c r="B621" s="8">
        <v>1977</v>
      </c>
      <c r="C621" s="44">
        <v>30893</v>
      </c>
      <c r="D621" s="44">
        <v>28814</v>
      </c>
      <c r="E621" s="44">
        <f t="shared" si="34"/>
        <v>59707</v>
      </c>
      <c r="F621" s="45">
        <v>14.35</v>
      </c>
      <c r="G621" s="45">
        <v>38.37871287128712</v>
      </c>
      <c r="H621" s="44">
        <f t="shared" si="35"/>
        <v>11275945</v>
      </c>
      <c r="I621" s="45">
        <f t="shared" si="33"/>
        <v>38.37871287128712</v>
      </c>
      <c r="J621" s="44">
        <f t="shared" si="36"/>
        <v>432756255.50742567</v>
      </c>
      <c r="K621" s="1">
        <v>60.6</v>
      </c>
      <c r="L621" s="1">
        <f t="shared" si="37"/>
        <v>0.3462857142857143</v>
      </c>
      <c r="M621" s="1">
        <v>13.29</v>
      </c>
    </row>
    <row r="622" spans="2:13" ht="0.75" customHeight="1">
      <c r="B622" s="8">
        <v>1978</v>
      </c>
      <c r="C622" s="44">
        <v>29464</v>
      </c>
      <c r="D622" s="44">
        <v>30094</v>
      </c>
      <c r="E622" s="44">
        <f t="shared" si="34"/>
        <v>59558</v>
      </c>
      <c r="F622" s="45">
        <v>14.34</v>
      </c>
      <c r="G622" s="45">
        <v>35.72469325153374</v>
      </c>
      <c r="H622" s="44">
        <f t="shared" si="35"/>
        <v>10754360</v>
      </c>
      <c r="I622" s="45">
        <f t="shared" si="33"/>
        <v>35.72469325153374</v>
      </c>
      <c r="J622" s="44">
        <f t="shared" si="36"/>
        <v>384196212.11656445</v>
      </c>
      <c r="K622" s="1">
        <v>65.2</v>
      </c>
      <c r="L622" s="1">
        <f t="shared" si="37"/>
        <v>0.3725714285714286</v>
      </c>
      <c r="M622" s="1">
        <v>13.31</v>
      </c>
    </row>
    <row r="623" spans="2:13" ht="0.75" customHeight="1">
      <c r="B623" s="8">
        <v>1979</v>
      </c>
      <c r="C623" s="44">
        <v>30581</v>
      </c>
      <c r="D623" s="44">
        <v>32094</v>
      </c>
      <c r="E623" s="44">
        <f t="shared" si="34"/>
        <v>62675</v>
      </c>
      <c r="F623" s="45">
        <v>21.29</v>
      </c>
      <c r="G623" s="45">
        <v>47.92011019283747</v>
      </c>
      <c r="H623" s="44">
        <f t="shared" si="35"/>
        <v>11162065</v>
      </c>
      <c r="I623" s="45">
        <f t="shared" si="33"/>
        <v>47.92011019283747</v>
      </c>
      <c r="J623" s="44">
        <f t="shared" si="36"/>
        <v>534887384.7796144</v>
      </c>
      <c r="K623" s="1">
        <v>72.6</v>
      </c>
      <c r="L623" s="1">
        <f t="shared" si="37"/>
        <v>0.4148571428571428</v>
      </c>
      <c r="M623" s="1">
        <v>19.88</v>
      </c>
    </row>
    <row r="624" spans="2:13" ht="0.75" customHeight="1">
      <c r="B624" s="8">
        <v>1980</v>
      </c>
      <c r="C624" s="44">
        <v>26606</v>
      </c>
      <c r="D624" s="44">
        <v>32994</v>
      </c>
      <c r="E624" s="44">
        <f t="shared" si="34"/>
        <v>59600</v>
      </c>
      <c r="F624" s="45">
        <v>33.56</v>
      </c>
      <c r="G624" s="45">
        <v>68.40716019417476</v>
      </c>
      <c r="H624" s="44">
        <f t="shared" si="35"/>
        <v>9711190</v>
      </c>
      <c r="I624" s="45">
        <f t="shared" si="33"/>
        <v>68.40716019417476</v>
      </c>
      <c r="J624" s="44">
        <f t="shared" si="36"/>
        <v>664314930.006068</v>
      </c>
      <c r="K624" s="1">
        <v>82.4</v>
      </c>
      <c r="L624" s="1">
        <f t="shared" si="37"/>
        <v>0.47085714285714286</v>
      </c>
      <c r="M624" s="1">
        <v>32.21</v>
      </c>
    </row>
    <row r="625" spans="2:13" ht="0.75" customHeight="1">
      <c r="B625" s="8">
        <v>1981</v>
      </c>
      <c r="C625" s="44">
        <v>22481</v>
      </c>
      <c r="D625" s="44">
        <v>33595</v>
      </c>
      <c r="E625" s="44">
        <f t="shared" si="34"/>
        <v>56076</v>
      </c>
      <c r="F625" s="45">
        <v>36.6</v>
      </c>
      <c r="G625" s="45">
        <v>67.7090209020902</v>
      </c>
      <c r="H625" s="44">
        <f t="shared" si="35"/>
        <v>8205565</v>
      </c>
      <c r="I625" s="45">
        <f t="shared" si="33"/>
        <v>67.7090209020902</v>
      </c>
      <c r="J625" s="44">
        <f t="shared" si="36"/>
        <v>555590772.0984598</v>
      </c>
      <c r="K625" s="1">
        <v>90.9</v>
      </c>
      <c r="L625" s="1">
        <f t="shared" si="37"/>
        <v>0.5194285714285715</v>
      </c>
      <c r="M625" s="1">
        <v>35.17</v>
      </c>
    </row>
    <row r="626" spans="2:13" ht="0.75" customHeight="1">
      <c r="B626" s="8">
        <v>1982</v>
      </c>
      <c r="C626" s="44">
        <v>18778</v>
      </c>
      <c r="D626" s="44">
        <v>34703</v>
      </c>
      <c r="E626" s="44">
        <f t="shared" si="34"/>
        <v>53481</v>
      </c>
      <c r="F626" s="45">
        <v>34.81</v>
      </c>
      <c r="G626" s="45">
        <v>60.715025906735754</v>
      </c>
      <c r="H626" s="44">
        <f t="shared" si="35"/>
        <v>6853970</v>
      </c>
      <c r="I626" s="45">
        <f t="shared" si="33"/>
        <v>60.715025906735754</v>
      </c>
      <c r="J626" s="44">
        <f t="shared" si="36"/>
        <v>416138966.11398965</v>
      </c>
      <c r="K626" s="1">
        <v>96.5</v>
      </c>
      <c r="L626" s="1">
        <f t="shared" si="37"/>
        <v>0.5514285714285714</v>
      </c>
      <c r="M626" s="1">
        <v>33.48</v>
      </c>
    </row>
    <row r="627" spans="2:13" ht="0.75" customHeight="1">
      <c r="B627" s="8">
        <v>1983</v>
      </c>
      <c r="C627" s="44">
        <v>17497</v>
      </c>
      <c r="D627" s="44">
        <v>35759</v>
      </c>
      <c r="E627" s="44">
        <f t="shared" si="34"/>
        <v>53256</v>
      </c>
      <c r="F627" s="45">
        <v>29.84</v>
      </c>
      <c r="G627" s="45">
        <v>50.005020080321295</v>
      </c>
      <c r="H627" s="44">
        <f t="shared" si="35"/>
        <v>6386405</v>
      </c>
      <c r="I627" s="45">
        <f t="shared" si="33"/>
        <v>50.005020080321295</v>
      </c>
      <c r="J627" s="44">
        <f t="shared" si="36"/>
        <v>319352310.26606435</v>
      </c>
      <c r="K627" s="1">
        <v>99.6</v>
      </c>
      <c r="L627" s="1">
        <f t="shared" si="37"/>
        <v>0.5691428571428571</v>
      </c>
      <c r="M627" s="1">
        <v>28.46</v>
      </c>
    </row>
    <row r="628" spans="2:13" ht="0.75" customHeight="1">
      <c r="B628" s="8">
        <v>1984</v>
      </c>
      <c r="C628" s="44">
        <v>17442</v>
      </c>
      <c r="D628" s="44">
        <v>37074</v>
      </c>
      <c r="E628" s="44">
        <f t="shared" si="34"/>
        <v>54516</v>
      </c>
      <c r="F628" s="45">
        <v>29.06</v>
      </c>
      <c r="G628" s="45">
        <v>46.8070259865255</v>
      </c>
      <c r="H628" s="44">
        <f t="shared" si="35"/>
        <v>6366330</v>
      </c>
      <c r="I628" s="45">
        <f t="shared" si="33"/>
        <v>46.8070259865255</v>
      </c>
      <c r="J628" s="44">
        <f t="shared" si="36"/>
        <v>297988973.7487969</v>
      </c>
      <c r="K628" s="1">
        <v>103.9</v>
      </c>
      <c r="L628" s="1">
        <f t="shared" si="37"/>
        <v>0.5937142857142857</v>
      </c>
      <c r="M628" s="1">
        <v>27.79</v>
      </c>
    </row>
    <row r="629" spans="2:13" ht="0.75" customHeight="1">
      <c r="B629" s="8">
        <v>1985</v>
      </c>
      <c r="C629" s="44">
        <v>16181</v>
      </c>
      <c r="D629" s="44">
        <v>37801</v>
      </c>
      <c r="E629" s="44">
        <f t="shared" si="34"/>
        <v>53982</v>
      </c>
      <c r="F629" s="45">
        <v>26.86</v>
      </c>
      <c r="G629" s="45">
        <v>41.749535315985135</v>
      </c>
      <c r="H629" s="44">
        <f t="shared" si="35"/>
        <v>5906065</v>
      </c>
      <c r="I629" s="45">
        <f t="shared" si="33"/>
        <v>41.749535315985135</v>
      </c>
      <c r="J629" s="44">
        <f t="shared" si="36"/>
        <v>246575469.29600376</v>
      </c>
      <c r="K629" s="1">
        <v>107.6</v>
      </c>
      <c r="L629" s="1">
        <f t="shared" si="37"/>
        <v>0.6148571428571429</v>
      </c>
      <c r="M629" s="1">
        <v>25.67</v>
      </c>
    </row>
    <row r="630" spans="2:13" ht="0.75" customHeight="1">
      <c r="B630" s="8">
        <v>1986</v>
      </c>
      <c r="C630" s="44">
        <v>18275</v>
      </c>
      <c r="D630" s="44">
        <v>37952</v>
      </c>
      <c r="E630" s="44">
        <f t="shared" si="34"/>
        <v>56227</v>
      </c>
      <c r="F630" s="45">
        <v>13.46</v>
      </c>
      <c r="G630" s="45">
        <v>19.495894160583944</v>
      </c>
      <c r="H630" s="44">
        <f t="shared" si="35"/>
        <v>6670375</v>
      </c>
      <c r="I630" s="45">
        <f t="shared" si="33"/>
        <v>19.495894160583944</v>
      </c>
      <c r="J630" s="44">
        <f t="shared" si="36"/>
        <v>130044925.01140513</v>
      </c>
      <c r="K630" s="1">
        <v>109.6</v>
      </c>
      <c r="L630" s="1">
        <f t="shared" si="37"/>
        <v>0.6262857142857142</v>
      </c>
      <c r="M630" s="1">
        <v>12.21</v>
      </c>
    </row>
    <row r="631" spans="2:13" ht="0.75" customHeight="1">
      <c r="B631" s="8">
        <v>1987</v>
      </c>
      <c r="C631" s="44">
        <v>18517</v>
      </c>
      <c r="D631" s="44">
        <v>38149</v>
      </c>
      <c r="E631" s="44">
        <f t="shared" si="34"/>
        <v>56666</v>
      </c>
      <c r="F631" s="45">
        <v>17.64</v>
      </c>
      <c r="G631" s="45">
        <v>25.310299295774648</v>
      </c>
      <c r="H631" s="44">
        <f t="shared" si="35"/>
        <v>6758705</v>
      </c>
      <c r="I631" s="45">
        <f t="shared" si="33"/>
        <v>25.310299295774648</v>
      </c>
      <c r="J631" s="44">
        <f t="shared" si="36"/>
        <v>171064846.40184858</v>
      </c>
      <c r="K631" s="1">
        <v>113.6</v>
      </c>
      <c r="L631" s="1">
        <f t="shared" si="37"/>
        <v>0.6491428571428571</v>
      </c>
      <c r="M631" s="1">
        <v>16.43</v>
      </c>
    </row>
    <row r="632" spans="2:13" ht="0.75" customHeight="1">
      <c r="B632" s="8">
        <v>1988</v>
      </c>
      <c r="C632" s="44">
        <v>20324</v>
      </c>
      <c r="D632" s="44">
        <v>38413</v>
      </c>
      <c r="E632" s="44">
        <f t="shared" si="34"/>
        <v>58737</v>
      </c>
      <c r="F632" s="45">
        <v>14.18</v>
      </c>
      <c r="G632" s="45">
        <v>19.866863905325445</v>
      </c>
      <c r="H632" s="44">
        <f t="shared" si="35"/>
        <v>7418260</v>
      </c>
      <c r="I632" s="45">
        <f t="shared" si="33"/>
        <v>19.866863905325445</v>
      </c>
      <c r="J632" s="44">
        <f t="shared" si="36"/>
        <v>147377561.83431953</v>
      </c>
      <c r="K632" s="1">
        <v>118.3</v>
      </c>
      <c r="L632" s="1">
        <f t="shared" si="37"/>
        <v>0.6759999999999999</v>
      </c>
      <c r="M632" s="1">
        <v>13.43</v>
      </c>
    </row>
    <row r="633" spans="2:13" ht="0.75" customHeight="1">
      <c r="B633" s="8">
        <v>1989</v>
      </c>
      <c r="C633" s="44">
        <v>22071</v>
      </c>
      <c r="D633" s="44">
        <v>37792</v>
      </c>
      <c r="E633" s="44">
        <f t="shared" si="34"/>
        <v>59863</v>
      </c>
      <c r="F633" s="45">
        <v>17.78</v>
      </c>
      <c r="G633" s="45">
        <v>24.076612903225808</v>
      </c>
      <c r="H633" s="44">
        <f t="shared" si="35"/>
        <v>8055915</v>
      </c>
      <c r="I633" s="45">
        <f t="shared" si="33"/>
        <v>24.076612903225808</v>
      </c>
      <c r="J633" s="44">
        <f t="shared" si="36"/>
        <v>193959147.03629035</v>
      </c>
      <c r="K633" s="1">
        <v>124</v>
      </c>
      <c r="L633" s="1">
        <f t="shared" si="37"/>
        <v>0.7085714285714285</v>
      </c>
      <c r="M633" s="1">
        <v>17.06</v>
      </c>
    </row>
    <row r="634" spans="2:13" ht="0.75" customHeight="1">
      <c r="B634" s="8">
        <v>1990</v>
      </c>
      <c r="C634" s="44">
        <v>23195</v>
      </c>
      <c r="D634" s="44">
        <v>37371</v>
      </c>
      <c r="E634" s="44">
        <f t="shared" si="34"/>
        <v>60566</v>
      </c>
      <c r="F634" s="45">
        <v>21.23</v>
      </c>
      <c r="G634" s="45">
        <v>27.314460596786535</v>
      </c>
      <c r="H634" s="44">
        <f t="shared" si="35"/>
        <v>8466175</v>
      </c>
      <c r="I634" s="45">
        <f t="shared" si="33"/>
        <v>27.314460596786535</v>
      </c>
      <c r="J634" s="44">
        <f t="shared" si="36"/>
        <v>231249003.44299924</v>
      </c>
      <c r="K634" s="1">
        <v>130.7</v>
      </c>
      <c r="L634" s="1">
        <f t="shared" si="37"/>
        <v>0.7468571428571428</v>
      </c>
      <c r="M634" s="1">
        <v>20.4</v>
      </c>
    </row>
    <row r="635" spans="2:13" ht="0.75" customHeight="1">
      <c r="B635" s="8">
        <v>1991</v>
      </c>
      <c r="C635" s="44">
        <v>23275</v>
      </c>
      <c r="D635" s="44">
        <v>36932</v>
      </c>
      <c r="E635" s="44">
        <f t="shared" si="34"/>
        <v>60207</v>
      </c>
      <c r="F635" s="45">
        <v>18.08</v>
      </c>
      <c r="G635" s="45">
        <v>21.830029368575623</v>
      </c>
      <c r="H635" s="44">
        <f t="shared" si="35"/>
        <v>8495375</v>
      </c>
      <c r="I635" s="45">
        <f t="shared" si="33"/>
        <v>21.830029368575623</v>
      </c>
      <c r="J635" s="44">
        <f t="shared" si="36"/>
        <v>185454285.74706313</v>
      </c>
      <c r="K635" s="1">
        <v>136.2</v>
      </c>
      <c r="L635" s="1">
        <f t="shared" si="37"/>
        <v>0.7782857142857142</v>
      </c>
      <c r="M635" s="1">
        <v>16.99</v>
      </c>
    </row>
    <row r="636" spans="2:13" ht="0.75" customHeight="1">
      <c r="B636" s="8">
        <v>1992</v>
      </c>
      <c r="C636" s="44">
        <v>24398</v>
      </c>
      <c r="D636" s="44">
        <v>35815</v>
      </c>
      <c r="E636" s="44">
        <f t="shared" si="34"/>
        <v>60213</v>
      </c>
      <c r="F636" s="45">
        <v>17.81</v>
      </c>
      <c r="G636" s="45">
        <v>21.0424091233072</v>
      </c>
      <c r="H636" s="44">
        <f t="shared" si="35"/>
        <v>8905270</v>
      </c>
      <c r="I636" s="45">
        <f t="shared" si="33"/>
        <v>21.0424091233072</v>
      </c>
      <c r="J636" s="44">
        <f t="shared" si="36"/>
        <v>187388334.6935139</v>
      </c>
      <c r="K636" s="1">
        <v>140.3</v>
      </c>
      <c r="L636" s="1">
        <f t="shared" si="37"/>
        <v>0.8017142857142858</v>
      </c>
      <c r="M636" s="1">
        <v>16.87</v>
      </c>
    </row>
    <row r="637" spans="2:13" ht="0.75" customHeight="1">
      <c r="B637" s="8">
        <v>1993</v>
      </c>
      <c r="C637" s="44">
        <v>25119</v>
      </c>
      <c r="D637" s="44">
        <v>35117</v>
      </c>
      <c r="E637" s="44">
        <f t="shared" si="34"/>
        <v>60236</v>
      </c>
      <c r="F637" s="45">
        <v>15.68</v>
      </c>
      <c r="G637" s="45">
        <v>17.899653979238753</v>
      </c>
      <c r="H637" s="44">
        <f t="shared" si="35"/>
        <v>9168435</v>
      </c>
      <c r="I637" s="45">
        <f t="shared" si="33"/>
        <v>17.899653979238753</v>
      </c>
      <c r="J637" s="44">
        <f t="shared" si="36"/>
        <v>164111814.03114185</v>
      </c>
      <c r="K637" s="1">
        <v>144.5</v>
      </c>
      <c r="L637" s="1">
        <f t="shared" si="37"/>
        <v>0.8257142857142857</v>
      </c>
      <c r="M637" s="1">
        <v>14.78</v>
      </c>
    </row>
    <row r="638" spans="2:13" ht="0.75" customHeight="1">
      <c r="B638" s="8">
        <v>1994</v>
      </c>
      <c r="C638" s="44">
        <v>25510</v>
      </c>
      <c r="D638" s="44">
        <v>35481</v>
      </c>
      <c r="E638" s="44">
        <f t="shared" si="34"/>
        <v>60991</v>
      </c>
      <c r="F638" s="45">
        <v>15.08</v>
      </c>
      <c r="G638" s="45">
        <v>16.531713900134953</v>
      </c>
      <c r="H638" s="44">
        <f t="shared" si="35"/>
        <v>9311150</v>
      </c>
      <c r="I638" s="45">
        <f t="shared" si="33"/>
        <v>16.531713900134953</v>
      </c>
      <c r="J638" s="44">
        <f t="shared" si="36"/>
        <v>153929267.88124156</v>
      </c>
      <c r="K638" s="1">
        <v>148.2</v>
      </c>
      <c r="L638" s="1">
        <f t="shared" si="37"/>
        <v>0.8468571428571428</v>
      </c>
      <c r="M638" s="1">
        <v>14</v>
      </c>
    </row>
    <row r="639" spans="2:13" ht="0.75" customHeight="1">
      <c r="B639" s="8">
        <v>1995</v>
      </c>
      <c r="C639" s="44">
        <v>26004</v>
      </c>
      <c r="D639" s="44">
        <v>36331</v>
      </c>
      <c r="E639" s="44">
        <f t="shared" si="34"/>
        <v>62335</v>
      </c>
      <c r="F639" s="45">
        <v>16.61</v>
      </c>
      <c r="G639" s="45">
        <v>17.63779527559055</v>
      </c>
      <c r="H639" s="44">
        <f t="shared" si="35"/>
        <v>9491460</v>
      </c>
      <c r="I639" s="45">
        <f t="shared" si="33"/>
        <v>17.63779527559055</v>
      </c>
      <c r="J639" s="44">
        <f t="shared" si="36"/>
        <v>167408428.34645668</v>
      </c>
      <c r="K639" s="1">
        <v>152.4</v>
      </c>
      <c r="L639" s="1">
        <f t="shared" si="37"/>
        <v>0.8708571428571429</v>
      </c>
      <c r="M639" s="1">
        <v>15.36</v>
      </c>
    </row>
    <row r="640" spans="2:13" ht="0.75" customHeight="1">
      <c r="B640" s="8">
        <v>1996</v>
      </c>
      <c r="C640" s="44">
        <v>26461</v>
      </c>
      <c r="D640" s="44">
        <v>37250</v>
      </c>
      <c r="E640" s="44">
        <f t="shared" si="34"/>
        <v>63711</v>
      </c>
      <c r="F640" s="45">
        <v>20.14</v>
      </c>
      <c r="G640" s="45">
        <v>21.12492033142129</v>
      </c>
      <c r="H640" s="44">
        <f t="shared" si="35"/>
        <v>9658265</v>
      </c>
      <c r="I640" s="45">
        <f t="shared" si="33"/>
        <v>21.12492033142129</v>
      </c>
      <c r="J640" s="44">
        <f t="shared" si="36"/>
        <v>204030078.66475466</v>
      </c>
      <c r="K640" s="1">
        <v>156.9</v>
      </c>
      <c r="L640" s="1">
        <f t="shared" si="37"/>
        <v>0.8965714285714286</v>
      </c>
      <c r="M640" s="1">
        <v>18.94</v>
      </c>
    </row>
    <row r="641" spans="2:13" ht="0.75" customHeight="1">
      <c r="B641" s="8">
        <v>1997</v>
      </c>
      <c r="C641" s="44">
        <v>28320</v>
      </c>
      <c r="D641" s="44">
        <v>38100</v>
      </c>
      <c r="E641" s="44">
        <f t="shared" si="34"/>
        <v>66420</v>
      </c>
      <c r="F641" s="45">
        <v>17.73</v>
      </c>
      <c r="G641" s="45">
        <v>17.728971962616825</v>
      </c>
      <c r="H641" s="44">
        <f t="shared" si="35"/>
        <v>10336800</v>
      </c>
      <c r="I641" s="45">
        <f t="shared" si="33"/>
        <v>17.728971962616825</v>
      </c>
      <c r="J641" s="44">
        <f t="shared" si="36"/>
        <v>183260837.3831776</v>
      </c>
      <c r="K641" s="1">
        <v>160.5</v>
      </c>
      <c r="L641" s="1">
        <f t="shared" si="37"/>
        <v>0.9171428571428571</v>
      </c>
      <c r="M641" s="1">
        <v>16.26</v>
      </c>
    </row>
    <row r="642" spans="2:13" ht="0.75" customHeight="1">
      <c r="B642" s="8">
        <v>1998</v>
      </c>
      <c r="C642" s="44">
        <v>28774</v>
      </c>
      <c r="D642" s="44">
        <v>38188</v>
      </c>
      <c r="E642" s="44">
        <f t="shared" si="34"/>
        <v>66962</v>
      </c>
      <c r="F642" s="45">
        <v>11.46</v>
      </c>
      <c r="G642" s="45">
        <v>10.950920245398773</v>
      </c>
      <c r="H642" s="44">
        <f t="shared" si="35"/>
        <v>10502510</v>
      </c>
      <c r="I642" s="45">
        <f t="shared" si="33"/>
        <v>10.950920245398773</v>
      </c>
      <c r="J642" s="44">
        <f t="shared" si="36"/>
        <v>115012149.38650307</v>
      </c>
      <c r="K642" s="1">
        <v>163</v>
      </c>
      <c r="L642" s="1">
        <f t="shared" si="37"/>
        <v>0.9314285714285714</v>
      </c>
      <c r="M642" s="1">
        <v>10.2</v>
      </c>
    </row>
    <row r="643" spans="2:13" ht="0.75" customHeight="1">
      <c r="B643" s="8">
        <v>1999</v>
      </c>
      <c r="C643" s="44">
        <v>27641</v>
      </c>
      <c r="D643" s="44">
        <v>38037</v>
      </c>
      <c r="E643" s="44">
        <f t="shared" si="34"/>
        <v>65678</v>
      </c>
      <c r="F643" s="45">
        <v>16.94</v>
      </c>
      <c r="G643" s="45">
        <v>16.70168067226891</v>
      </c>
      <c r="H643" s="44">
        <f t="shared" si="35"/>
        <v>10088965</v>
      </c>
      <c r="I643" s="45">
        <f t="shared" si="33"/>
        <v>16.70168067226891</v>
      </c>
      <c r="J643" s="44">
        <f t="shared" si="36"/>
        <v>168502671.7436975</v>
      </c>
      <c r="K643" s="1">
        <v>166.6</v>
      </c>
      <c r="L643" s="1">
        <f t="shared" si="37"/>
        <v>0.952</v>
      </c>
      <c r="M643" s="1">
        <v>15.9</v>
      </c>
    </row>
    <row r="644" spans="2:13" ht="0.75" customHeight="1">
      <c r="B644" s="8">
        <v>2000</v>
      </c>
      <c r="C644" s="44">
        <v>28990</v>
      </c>
      <c r="D644" s="44">
        <v>38821</v>
      </c>
      <c r="E644" s="44">
        <f t="shared" si="34"/>
        <v>67811</v>
      </c>
      <c r="F644" s="45">
        <v>27</v>
      </c>
      <c r="G644" s="45">
        <v>27</v>
      </c>
      <c r="H644" s="44">
        <f t="shared" si="35"/>
        <v>10581350</v>
      </c>
      <c r="I644" s="45">
        <f t="shared" si="33"/>
        <v>27</v>
      </c>
      <c r="J644" s="44">
        <f t="shared" si="36"/>
        <v>285696450</v>
      </c>
      <c r="K644" s="1">
        <v>175</v>
      </c>
      <c r="L644" s="1">
        <f t="shared" si="37"/>
        <v>1</v>
      </c>
      <c r="M644" s="1">
        <v>27</v>
      </c>
    </row>
    <row r="645" spans="2:10" ht="0.75" customHeight="1">
      <c r="B645" s="8">
        <v>2001</v>
      </c>
      <c r="C645" s="44"/>
      <c r="D645" s="44"/>
      <c r="E645" s="44"/>
      <c r="F645" s="44"/>
      <c r="G645" s="44"/>
      <c r="H645" s="44"/>
      <c r="I645" s="44"/>
      <c r="J645" s="44"/>
    </row>
    <row r="646" spans="2:10" ht="0.75" customHeight="1">
      <c r="B646" s="8">
        <v>2002</v>
      </c>
      <c r="C646" s="44"/>
      <c r="D646" s="44"/>
      <c r="E646" s="44"/>
      <c r="F646" s="44"/>
      <c r="G646" s="44"/>
      <c r="H646" s="44"/>
      <c r="I646" s="44"/>
      <c r="J646" s="44"/>
    </row>
    <row r="647" spans="2:10" ht="0.75" customHeight="1">
      <c r="B647" s="8">
        <v>2003</v>
      </c>
      <c r="C647" s="44"/>
      <c r="D647" s="44"/>
      <c r="E647" s="44"/>
      <c r="F647" s="44"/>
      <c r="G647" s="44"/>
      <c r="H647" s="44"/>
      <c r="I647" s="44"/>
      <c r="J647" s="44"/>
    </row>
    <row r="648" spans="2:10" ht="0.75" customHeight="1">
      <c r="B648" s="8">
        <v>2004</v>
      </c>
      <c r="C648" s="44"/>
      <c r="D648" s="44"/>
      <c r="E648" s="44"/>
      <c r="F648" s="44"/>
      <c r="G648" s="44"/>
      <c r="H648" s="44"/>
      <c r="I648" s="44"/>
      <c r="J648" s="44"/>
    </row>
    <row r="649" spans="2:10" ht="0.75" customHeight="1">
      <c r="B649" s="8">
        <v>2005</v>
      </c>
      <c r="C649" s="44"/>
      <c r="D649" s="44"/>
      <c r="E649" s="44"/>
      <c r="F649" s="44"/>
      <c r="G649" s="44"/>
      <c r="H649" s="44"/>
      <c r="I649" s="44"/>
      <c r="J649" s="44"/>
    </row>
    <row r="650" spans="2:10" ht="0.75" customHeight="1">
      <c r="B650" s="8">
        <v>2006</v>
      </c>
      <c r="C650" s="44"/>
      <c r="D650" s="44"/>
      <c r="E650" s="44"/>
      <c r="F650" s="44"/>
      <c r="G650" s="44"/>
      <c r="H650" s="44"/>
      <c r="I650" s="44"/>
      <c r="J650" s="44"/>
    </row>
    <row r="651" spans="2:10" ht="0.75" customHeight="1">
      <c r="B651" s="8">
        <v>2007</v>
      </c>
      <c r="C651" s="44"/>
      <c r="D651" s="44"/>
      <c r="E651" s="44"/>
      <c r="F651" s="44"/>
      <c r="G651" s="44"/>
      <c r="H651" s="44"/>
      <c r="I651" s="44"/>
      <c r="J651" s="44"/>
    </row>
    <row r="652" spans="2:10" ht="0.75" customHeight="1">
      <c r="B652" s="8">
        <v>2008</v>
      </c>
      <c r="C652" s="44"/>
      <c r="D652" s="44"/>
      <c r="E652" s="44"/>
      <c r="F652" s="44"/>
      <c r="G652" s="44"/>
      <c r="H652" s="44"/>
      <c r="I652" s="44"/>
      <c r="J652" s="44"/>
    </row>
    <row r="653" spans="2:10" ht="0.75" customHeight="1">
      <c r="B653" s="8">
        <v>2009</v>
      </c>
      <c r="C653" s="44"/>
      <c r="D653" s="44"/>
      <c r="E653" s="44"/>
      <c r="F653" s="44"/>
      <c r="G653" s="44"/>
      <c r="H653" s="44"/>
      <c r="I653" s="44"/>
      <c r="J653" s="44"/>
    </row>
    <row r="654" spans="2:10" ht="0.75" customHeight="1">
      <c r="B654" s="8">
        <v>2010</v>
      </c>
      <c r="C654" s="44"/>
      <c r="D654" s="44"/>
      <c r="E654" s="44"/>
      <c r="F654" s="44"/>
      <c r="G654" s="44"/>
      <c r="H654" s="44"/>
      <c r="I654" s="44"/>
      <c r="J654" s="44"/>
    </row>
    <row r="657" spans="2:12" ht="0.75" customHeight="1">
      <c r="B657" s="8">
        <v>1973</v>
      </c>
      <c r="K657" s="1">
        <v>44.4</v>
      </c>
      <c r="L657" s="1">
        <f>K657/$K$560</f>
        <v>0.2537142857142857</v>
      </c>
    </row>
    <row r="658" spans="2:12" ht="0.75" customHeight="1">
      <c r="B658" s="8">
        <v>1974</v>
      </c>
      <c r="K658" s="1">
        <v>49.3</v>
      </c>
      <c r="L658" s="1">
        <f aca="true" t="shared" si="38" ref="L658:L684">K658/$K$560</f>
        <v>0.2817142857142857</v>
      </c>
    </row>
    <row r="659" spans="2:12" ht="0.75" customHeight="1">
      <c r="B659" s="8">
        <v>1975</v>
      </c>
      <c r="K659" s="1">
        <v>53.8</v>
      </c>
      <c r="L659" s="1">
        <f t="shared" si="38"/>
        <v>0.30742857142857144</v>
      </c>
    </row>
    <row r="660" spans="2:12" ht="0.75" customHeight="1">
      <c r="B660" s="8">
        <v>1976</v>
      </c>
      <c r="K660" s="1">
        <v>56.9</v>
      </c>
      <c r="L660" s="1">
        <f t="shared" si="38"/>
        <v>0.3251428571428571</v>
      </c>
    </row>
    <row r="661" spans="2:12" ht="0.75" customHeight="1">
      <c r="B661" s="8">
        <v>1977</v>
      </c>
      <c r="K661" s="1">
        <v>60.6</v>
      </c>
      <c r="L661" s="1">
        <f t="shared" si="38"/>
        <v>0.3462857142857143</v>
      </c>
    </row>
    <row r="662" spans="2:12" ht="0.75" customHeight="1">
      <c r="B662" s="8">
        <v>1978</v>
      </c>
      <c r="K662" s="1">
        <v>65.2</v>
      </c>
      <c r="L662" s="1">
        <f t="shared" si="38"/>
        <v>0.3725714285714286</v>
      </c>
    </row>
    <row r="663" spans="2:12" ht="0.75" customHeight="1">
      <c r="B663" s="8">
        <v>1979</v>
      </c>
      <c r="K663" s="1">
        <v>72.6</v>
      </c>
      <c r="L663" s="1">
        <f t="shared" si="38"/>
        <v>0.4148571428571428</v>
      </c>
    </row>
    <row r="664" spans="2:12" ht="0.75" customHeight="1">
      <c r="B664" s="8">
        <v>1980</v>
      </c>
      <c r="K664" s="1">
        <v>82.4</v>
      </c>
      <c r="L664" s="1">
        <f t="shared" si="38"/>
        <v>0.47085714285714286</v>
      </c>
    </row>
    <row r="665" spans="2:12" ht="0.75" customHeight="1">
      <c r="B665" s="8">
        <v>1981</v>
      </c>
      <c r="K665" s="1">
        <v>90.9</v>
      </c>
      <c r="L665" s="1">
        <f t="shared" si="38"/>
        <v>0.5194285714285715</v>
      </c>
    </row>
    <row r="666" spans="2:12" ht="0.75" customHeight="1">
      <c r="B666" s="8">
        <v>1982</v>
      </c>
      <c r="K666" s="1">
        <v>96.5</v>
      </c>
      <c r="L666" s="1">
        <f t="shared" si="38"/>
        <v>0.5514285714285714</v>
      </c>
    </row>
    <row r="667" spans="2:12" ht="0.75" customHeight="1">
      <c r="B667" s="8">
        <v>1983</v>
      </c>
      <c r="K667" s="1">
        <v>99.6</v>
      </c>
      <c r="L667" s="1">
        <f t="shared" si="38"/>
        <v>0.5691428571428571</v>
      </c>
    </row>
    <row r="668" spans="2:12" ht="0.75" customHeight="1">
      <c r="B668" s="8">
        <v>1984</v>
      </c>
      <c r="K668" s="1">
        <v>103.9</v>
      </c>
      <c r="L668" s="1">
        <f t="shared" si="38"/>
        <v>0.5937142857142857</v>
      </c>
    </row>
    <row r="669" spans="2:12" ht="0.75" customHeight="1">
      <c r="B669" s="8">
        <v>1985</v>
      </c>
      <c r="K669" s="1">
        <v>107.6</v>
      </c>
      <c r="L669" s="1">
        <f t="shared" si="38"/>
        <v>0.6148571428571429</v>
      </c>
    </row>
    <row r="670" spans="2:12" ht="0.75" customHeight="1">
      <c r="B670" s="8">
        <v>1986</v>
      </c>
      <c r="K670" s="1">
        <v>109.6</v>
      </c>
      <c r="L670" s="1">
        <f t="shared" si="38"/>
        <v>0.6262857142857142</v>
      </c>
    </row>
    <row r="671" spans="2:12" ht="0.75" customHeight="1">
      <c r="B671" s="8">
        <v>1987</v>
      </c>
      <c r="K671" s="1">
        <v>113.6</v>
      </c>
      <c r="L671" s="1">
        <f t="shared" si="38"/>
        <v>0.6491428571428571</v>
      </c>
    </row>
    <row r="672" spans="2:12" ht="0.75" customHeight="1">
      <c r="B672" s="8">
        <v>1988</v>
      </c>
      <c r="K672" s="1">
        <v>118.3</v>
      </c>
      <c r="L672" s="1">
        <f t="shared" si="38"/>
        <v>0.6759999999999999</v>
      </c>
    </row>
    <row r="673" spans="2:12" ht="0.75" customHeight="1">
      <c r="B673" s="8">
        <v>1989</v>
      </c>
      <c r="K673" s="1">
        <v>124</v>
      </c>
      <c r="L673" s="1">
        <f t="shared" si="38"/>
        <v>0.7085714285714285</v>
      </c>
    </row>
    <row r="674" spans="2:12" ht="0.75" customHeight="1">
      <c r="B674" s="8">
        <v>1990</v>
      </c>
      <c r="K674" s="1">
        <v>130.7</v>
      </c>
      <c r="L674" s="1">
        <f t="shared" si="38"/>
        <v>0.7468571428571428</v>
      </c>
    </row>
    <row r="675" spans="2:12" ht="0.75" customHeight="1">
      <c r="B675" s="8">
        <v>1991</v>
      </c>
      <c r="K675" s="1">
        <v>136.2</v>
      </c>
      <c r="L675" s="1">
        <f t="shared" si="38"/>
        <v>0.7782857142857142</v>
      </c>
    </row>
    <row r="676" spans="2:12" ht="0.75" customHeight="1">
      <c r="B676" s="8">
        <v>1992</v>
      </c>
      <c r="K676" s="1">
        <v>140.3</v>
      </c>
      <c r="L676" s="1">
        <f t="shared" si="38"/>
        <v>0.8017142857142858</v>
      </c>
    </row>
    <row r="677" spans="2:12" ht="0.75" customHeight="1">
      <c r="B677" s="8">
        <v>1993</v>
      </c>
      <c r="K677" s="1">
        <v>144.5</v>
      </c>
      <c r="L677" s="1">
        <f t="shared" si="38"/>
        <v>0.8257142857142857</v>
      </c>
    </row>
    <row r="678" spans="2:12" ht="0.75" customHeight="1">
      <c r="B678" s="8">
        <v>1994</v>
      </c>
      <c r="K678" s="1">
        <v>148.2</v>
      </c>
      <c r="L678" s="1">
        <f t="shared" si="38"/>
        <v>0.8468571428571428</v>
      </c>
    </row>
    <row r="679" spans="2:12" ht="0.75" customHeight="1">
      <c r="B679" s="8">
        <v>1995</v>
      </c>
      <c r="K679" s="1">
        <v>152.4</v>
      </c>
      <c r="L679" s="1">
        <f t="shared" si="38"/>
        <v>0.8708571428571429</v>
      </c>
    </row>
    <row r="680" spans="2:12" ht="0.75" customHeight="1">
      <c r="B680" s="8">
        <v>1996</v>
      </c>
      <c r="K680" s="1">
        <v>156.9</v>
      </c>
      <c r="L680" s="1">
        <f t="shared" si="38"/>
        <v>0.8965714285714286</v>
      </c>
    </row>
    <row r="681" spans="2:12" ht="0.75" customHeight="1">
      <c r="B681" s="8">
        <v>1997</v>
      </c>
      <c r="K681" s="1">
        <v>160.5</v>
      </c>
      <c r="L681" s="1">
        <f t="shared" si="38"/>
        <v>0.9171428571428571</v>
      </c>
    </row>
    <row r="682" spans="2:12" ht="0.75" customHeight="1">
      <c r="B682" s="8">
        <v>1998</v>
      </c>
      <c r="K682" s="1">
        <v>163</v>
      </c>
      <c r="L682" s="1">
        <f t="shared" si="38"/>
        <v>0.9314285714285714</v>
      </c>
    </row>
    <row r="683" spans="2:12" ht="0.75" customHeight="1">
      <c r="B683" s="8">
        <v>1999</v>
      </c>
      <c r="K683" s="1">
        <v>166.6</v>
      </c>
      <c r="L683" s="1">
        <f t="shared" si="38"/>
        <v>0.952</v>
      </c>
    </row>
    <row r="684" spans="2:12" ht="0.75" customHeight="1">
      <c r="B684" s="8">
        <v>2000</v>
      </c>
      <c r="K684" s="1">
        <v>175</v>
      </c>
      <c r="L684" s="1">
        <f t="shared" si="38"/>
        <v>1</v>
      </c>
    </row>
    <row r="685" ht="0.75" customHeight="1">
      <c r="B685" s="8">
        <v>2001</v>
      </c>
    </row>
    <row r="686" ht="0.75" customHeight="1">
      <c r="B686" s="8">
        <v>2002</v>
      </c>
    </row>
    <row r="687" ht="0.75" customHeight="1">
      <c r="B687" s="8">
        <v>2003</v>
      </c>
    </row>
    <row r="688" ht="0.75" customHeight="1">
      <c r="B688" s="8">
        <v>2004</v>
      </c>
    </row>
    <row r="689" ht="0.75" customHeight="1">
      <c r="B689" s="8">
        <v>2005</v>
      </c>
    </row>
    <row r="690" ht="0.75" customHeight="1">
      <c r="B690" s="8">
        <v>2006</v>
      </c>
    </row>
    <row r="691" ht="0.75" customHeight="1">
      <c r="B691" s="8">
        <v>2007</v>
      </c>
    </row>
    <row r="692" ht="0.75" customHeight="1">
      <c r="B692" s="8">
        <v>2008</v>
      </c>
    </row>
    <row r="693" ht="0.75" customHeight="1">
      <c r="B693" s="8">
        <v>2009</v>
      </c>
    </row>
    <row r="694" ht="0.75" customHeight="1">
      <c r="B694" s="8">
        <v>2010</v>
      </c>
    </row>
  </sheetData>
  <printOptions/>
  <pageMargins left="0.3" right="0.3" top="0.7" bottom="0.7" header="0.5" footer="0.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B4" sqref="B4"/>
    </sheetView>
  </sheetViews>
  <sheetFormatPr defaultColWidth="11.421875" defaultRowHeight="12"/>
  <cols>
    <col min="1" max="1" width="6.00390625" style="46" customWidth="1"/>
    <col min="2" max="2" width="7.421875" style="46" customWidth="1"/>
    <col min="3" max="12" width="11.00390625" style="46" customWidth="1"/>
    <col min="13" max="13" width="9.140625" style="46" customWidth="1"/>
    <col min="14" max="14" width="6.8515625" style="46" customWidth="1"/>
    <col min="15" max="16384" width="11.00390625" style="46" customWidth="1"/>
  </cols>
  <sheetData>
    <row r="1" spans="1:14" ht="15" thickBot="1">
      <c r="A1" s="11"/>
      <c r="B1" s="1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thickBot="1">
      <c r="A2" s="11"/>
      <c r="B2" s="11"/>
      <c r="C2" s="11"/>
      <c r="D2" s="11"/>
      <c r="E2" s="25"/>
      <c r="F2" s="37"/>
      <c r="G2" s="26" t="s">
        <v>112</v>
      </c>
      <c r="H2" s="37"/>
      <c r="I2" s="37"/>
      <c r="J2" s="38"/>
      <c r="K2" s="3"/>
      <c r="L2" s="3"/>
      <c r="M2" s="3"/>
      <c r="N2" s="3"/>
    </row>
    <row r="3" spans="1:14" ht="13.5">
      <c r="A3" s="11"/>
      <c r="B3" s="2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24" t="s">
        <v>0</v>
      </c>
      <c r="N3" s="3"/>
    </row>
    <row r="4" spans="1:14" ht="13.5">
      <c r="A4" s="11"/>
      <c r="B4" s="11"/>
      <c r="C4" s="11" t="s">
        <v>2</v>
      </c>
      <c r="D4" s="11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>
      <c r="A5" s="11"/>
      <c r="B5" s="11"/>
      <c r="C5" s="11" t="s">
        <v>3</v>
      </c>
      <c r="D5" s="11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.5">
      <c r="A6" s="11"/>
      <c r="B6" s="11"/>
      <c r="C6" s="11" t="s">
        <v>4</v>
      </c>
      <c r="D6" s="11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3.5">
      <c r="A7" s="11"/>
      <c r="B7" s="11"/>
      <c r="C7" s="11" t="s">
        <v>5</v>
      </c>
      <c r="D7" s="11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3.5">
      <c r="A8" s="8"/>
      <c r="B8" s="8"/>
      <c r="C8" s="11" t="s">
        <v>6</v>
      </c>
      <c r="D8" s="11"/>
      <c r="E8" s="1"/>
      <c r="F8" s="1"/>
      <c r="G8" s="1"/>
      <c r="H8" s="1"/>
      <c r="I8" s="1"/>
      <c r="J8" s="1"/>
      <c r="K8" s="1"/>
      <c r="L8" s="1"/>
      <c r="M8" s="1"/>
      <c r="N8" s="1"/>
    </row>
  </sheetData>
  <printOptions/>
  <pageMargins left="0.3" right="0.3" top="0.7" bottom="0.7" header="0.5" footer="0.5"/>
  <pageSetup orientation="portrait" paperSize="9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2001-05-07T22:44:13Z</cp:lastPrinted>
  <dcterms:created xsi:type="dcterms:W3CDTF">2001-05-02T21:27:27Z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