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560" windowWidth="15780" windowHeight="13500" tabRatio="294" activeTab="0"/>
  </bookViews>
  <sheets>
    <sheet name="Taxation &amp; Social Welfare" sheetId="1" r:id="rId1"/>
  </sheets>
  <definedNames/>
  <calcPr fullCalcOnLoad="1"/>
</workbook>
</file>

<file path=xl/sharedStrings.xml><?xml version="1.0" encoding="utf-8"?>
<sst xmlns="http://schemas.openxmlformats.org/spreadsheetml/2006/main" count="134" uniqueCount="55">
  <si>
    <t>Excise Taxation, Market Equilibrium, and Social Welfare</t>
  </si>
  <si>
    <t>Demand</t>
  </si>
  <si>
    <t>Supply +</t>
  </si>
  <si>
    <t>Gross Revenue, Net Revenue</t>
  </si>
  <si>
    <t>Quantity</t>
  </si>
  <si>
    <t>Supply</t>
  </si>
  <si>
    <t>Tax</t>
  </si>
  <si>
    <t>Functional Equations</t>
  </si>
  <si>
    <t>and Tax Collections</t>
  </si>
  <si>
    <t>Q</t>
  </si>
  <si>
    <t>D</t>
  </si>
  <si>
    <t>S</t>
  </si>
  <si>
    <t>S+T</t>
  </si>
  <si>
    <t>Qd=</t>
  </si>
  <si>
    <t>P</t>
  </si>
  <si>
    <t>Excise TXR:</t>
  </si>
  <si>
    <t>Gross</t>
  </si>
  <si>
    <t>Net</t>
  </si>
  <si>
    <t>Taxes</t>
  </si>
  <si>
    <t>Supply + Tax</t>
  </si>
  <si>
    <t>Qs=</t>
  </si>
  <si>
    <t>Inverse Equations</t>
  </si>
  <si>
    <t>Pd=</t>
  </si>
  <si>
    <t>Qd</t>
  </si>
  <si>
    <t>Ps=</t>
  </si>
  <si>
    <t>Qs</t>
  </si>
  <si>
    <t>Initial Market Equilibrium</t>
  </si>
  <si>
    <t>Qe=</t>
  </si>
  <si>
    <t>Pre-Tax</t>
  </si>
  <si>
    <t>Pe=</t>
  </si>
  <si>
    <t>Ed=</t>
  </si>
  <si>
    <t>TR=</t>
  </si>
  <si>
    <t>Initial Total Social Welfare:</t>
  </si>
  <si>
    <t>TSW=</t>
  </si>
  <si>
    <t>Taxation and Social Welfare</t>
  </si>
  <si>
    <t>Tax Rate:</t>
  </si>
  <si>
    <t>Absolute Slope Dist.</t>
  </si>
  <si>
    <t>Post-Tax Market Equilibrium</t>
  </si>
  <si>
    <t>Post-Tax</t>
  </si>
  <si>
    <t>Burden</t>
  </si>
  <si>
    <t>Tax Revenues=</t>
  </si>
  <si>
    <t>Dist.</t>
  </si>
  <si>
    <t>Tax Consumer Surplus Loss =</t>
  </si>
  <si>
    <t>Tax Producer Surplus Loss =</t>
  </si>
  <si>
    <t>Deadweight Loss =</t>
  </si>
  <si>
    <t>Tax Excess Burden Ratio =</t>
  </si>
  <si>
    <t>A.</t>
  </si>
  <si>
    <t>Tax Market Equilibrium:</t>
  </si>
  <si>
    <t>B.  Zero Tax Market Equilibrium</t>
  </si>
  <si>
    <t xml:space="preserve">   Burden</t>
  </si>
  <si>
    <t>Distribution</t>
  </si>
  <si>
    <t>C.  $1.00 Tax Market Equilibrium</t>
  </si>
  <si>
    <t xml:space="preserve"> Distribution</t>
  </si>
  <si>
    <t>P. LeBel</t>
  </si>
  <si>
    <t>© 2005, 1999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</si>
</sst>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;[Red]\(&quot;$&quot;#,##0.00\)"/>
    <numFmt numFmtId="166" formatCode="0.0000"/>
    <numFmt numFmtId="167" formatCode="0.000"/>
    <numFmt numFmtId="168" formatCode="&quot;$&quot;#,###;[Red]\(&quot;$&quot;#,##0.00\)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b/>
      <sz val="12"/>
      <color indexed="18"/>
      <name val="Helv"/>
      <family val="0"/>
    </font>
    <font>
      <b/>
      <sz val="12"/>
      <color indexed="12"/>
      <name val="Helv"/>
      <family val="0"/>
    </font>
    <font>
      <sz val="12"/>
      <color indexed="18"/>
      <name val="Helv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8" fillId="0" borderId="4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2" fontId="8" fillId="0" borderId="7" xfId="0" applyNumberFormat="1" applyFont="1" applyBorder="1" applyAlignment="1">
      <alignment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166" fontId="7" fillId="0" borderId="17" xfId="0" applyNumberFormat="1" applyFont="1" applyBorder="1" applyAlignment="1">
      <alignment/>
    </xf>
    <xf numFmtId="0" fontId="7" fillId="0" borderId="16" xfId="0" applyFont="1" applyBorder="1" applyAlignment="1">
      <alignment horizontal="right"/>
    </xf>
    <xf numFmtId="2" fontId="7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165" fontId="7" fillId="0" borderId="17" xfId="0" applyNumberFormat="1" applyFont="1" applyBorder="1" applyAlignment="1">
      <alignment/>
    </xf>
    <xf numFmtId="2" fontId="7" fillId="0" borderId="9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8" xfId="0" applyFont="1" applyBorder="1" applyAlignment="1">
      <alignment/>
    </xf>
    <xf numFmtId="10" fontId="7" fillId="0" borderId="17" xfId="0" applyNumberFormat="1" applyFont="1" applyBorder="1" applyAlignment="1">
      <alignment/>
    </xf>
    <xf numFmtId="1" fontId="7" fillId="0" borderId="18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1" fontId="7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right"/>
    </xf>
    <xf numFmtId="2" fontId="8" fillId="0" borderId="18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165" fontId="7" fillId="0" borderId="21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23" xfId="0" applyNumberFormat="1" applyFont="1" applyBorder="1" applyAlignment="1">
      <alignment horizontal="center"/>
    </xf>
    <xf numFmtId="10" fontId="7" fillId="0" borderId="22" xfId="0" applyNumberFormat="1" applyFont="1" applyBorder="1" applyAlignment="1">
      <alignment/>
    </xf>
    <xf numFmtId="10" fontId="7" fillId="0" borderId="23" xfId="0" applyNumberFormat="1" applyFont="1" applyBorder="1" applyAlignment="1">
      <alignment/>
    </xf>
    <xf numFmtId="10" fontId="7" fillId="0" borderId="22" xfId="0" applyNumberFormat="1" applyFont="1" applyBorder="1" applyAlignment="1">
      <alignment horizontal="center"/>
    </xf>
    <xf numFmtId="10" fontId="7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 horizontal="right"/>
    </xf>
    <xf numFmtId="2" fontId="8" fillId="0" borderId="27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28" xfId="0" applyNumberFormat="1" applyFont="1" applyBorder="1" applyAlignment="1">
      <alignment/>
    </xf>
    <xf numFmtId="165" fontId="7" fillId="0" borderId="25" xfId="0" applyNumberFormat="1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29" xfId="0" applyFont="1" applyBorder="1" applyAlignment="1">
      <alignment/>
    </xf>
    <xf numFmtId="1" fontId="10" fillId="0" borderId="29" xfId="0" applyNumberFormat="1" applyFont="1" applyBorder="1" applyAlignment="1">
      <alignment/>
    </xf>
    <xf numFmtId="0" fontId="10" fillId="0" borderId="29" xfId="0" applyFont="1" applyBorder="1" applyAlignment="1">
      <alignment horizontal="center"/>
    </xf>
    <xf numFmtId="2" fontId="10" fillId="0" borderId="29" xfId="0" applyNumberFormat="1" applyFont="1" applyBorder="1" applyAlignment="1">
      <alignment/>
    </xf>
    <xf numFmtId="0" fontId="10" fillId="0" borderId="31" xfId="0" applyFont="1" applyBorder="1" applyAlignment="1">
      <alignment/>
    </xf>
    <xf numFmtId="2" fontId="8" fillId="0" borderId="32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10" fillId="0" borderId="29" xfId="0" applyFont="1" applyBorder="1" applyAlignment="1">
      <alignment horizontal="right"/>
    </xf>
    <xf numFmtId="165" fontId="10" fillId="0" borderId="29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9" xfId="0" applyFont="1" applyBorder="1" applyAlignment="1">
      <alignment/>
    </xf>
    <xf numFmtId="2" fontId="11" fillId="0" borderId="2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Alignment="1">
      <alignment horizontal="center"/>
    </xf>
    <xf numFmtId="0" fontId="12" fillId="0" borderId="16" xfId="0" applyFont="1" applyBorder="1" applyAlignment="1">
      <alignment/>
    </xf>
    <xf numFmtId="165" fontId="7" fillId="0" borderId="25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7" fillId="0" borderId="23" xfId="0" applyNumberFormat="1" applyFont="1" applyBorder="1" applyAlignment="1">
      <alignment/>
    </xf>
    <xf numFmtId="0" fontId="7" fillId="0" borderId="8" xfId="0" applyFont="1" applyBorder="1" applyAlignment="1">
      <alignment/>
    </xf>
    <xf numFmtId="1" fontId="8" fillId="0" borderId="9" xfId="0" applyNumberFormat="1" applyFont="1" applyBorder="1" applyAlignment="1">
      <alignment/>
    </xf>
    <xf numFmtId="0" fontId="8" fillId="0" borderId="9" xfId="0" applyFont="1" applyBorder="1" applyAlignment="1">
      <alignment/>
    </xf>
    <xf numFmtId="2" fontId="7" fillId="0" borderId="8" xfId="0" applyNumberFormat="1" applyFont="1" applyBorder="1" applyAlignment="1">
      <alignment horizontal="left"/>
    </xf>
    <xf numFmtId="165" fontId="7" fillId="0" borderId="17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Taxation and Market Equilibrium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95"/>
          <c:w val="0.95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'Taxation &amp; Social Welfare'!$C$4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'Taxation &amp; Social Welfare'!$B$7:$B$32</c:f>
              <c:numCache/>
            </c:numRef>
          </c:cat>
          <c:val>
            <c:numRef>
              <c:f>'Taxation &amp; Social Welfare'!$C$7:$C$32</c:f>
              <c:numCache/>
            </c:numRef>
          </c:val>
          <c:smooth val="0"/>
        </c:ser>
        <c:ser>
          <c:idx val="1"/>
          <c:order val="1"/>
          <c:tx>
            <c:strRef>
              <c:f>'Taxation &amp; Social Welfare'!$D$5</c:f>
              <c:strCache>
                <c:ptCount val="1"/>
                <c:pt idx="0">
                  <c:v>Supply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Welfare'!$B$7:$B$32</c:f>
              <c:numCache/>
            </c:numRef>
          </c:cat>
          <c:val>
            <c:numRef>
              <c:f>'Taxation &amp; Social Welfare'!$D$7:$D$32</c:f>
              <c:numCache/>
            </c:numRef>
          </c:val>
          <c:smooth val="0"/>
        </c:ser>
        <c:ser>
          <c:idx val="2"/>
          <c:order val="2"/>
          <c:tx>
            <c:strRef>
              <c:f>'Taxation &amp; Social Welfare'!$E$5</c:f>
              <c:strCache>
                <c:ptCount val="1"/>
                <c:pt idx="0">
                  <c:v>Tax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'Taxation &amp; Social Welfare'!$B$7:$B$32</c:f>
              <c:numCache/>
            </c:numRef>
          </c:cat>
          <c:val>
            <c:numRef>
              <c:f>'Taxation &amp; Social Welfare'!$E$7:$E$32</c:f>
              <c:numCache/>
            </c:numRef>
          </c:val>
          <c:smooth val="0"/>
        </c:ser>
        <c:marker val="1"/>
        <c:axId val="29297182"/>
        <c:axId val="62348047"/>
      </c:lineChart>
      <c:catAx>
        <c:axId val="29297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348047"/>
        <c:crosses val="autoZero"/>
        <c:auto val="0"/>
        <c:lblOffset val="100"/>
        <c:noMultiLvlLbl val="0"/>
      </c:catAx>
      <c:valAx>
        <c:axId val="623480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0.00;[Red]\(&quot;$&quot;#,##0.0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29297182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75"/>
          <c:y val="0.91025"/>
          <c:w val="0.716"/>
          <c:h val="0.0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Taxation and Market Equilibrium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9625"/>
          <c:w val="0.93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'Taxation &amp; Social Welfare'!$AA$6</c:f>
              <c:strCache>
                <c:ptCount val="1"/>
                <c:pt idx="0">
                  <c:v>Demand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'Taxation &amp; Social Welfare'!$Z$7:$Z$37</c:f>
              <c:numCache/>
            </c:numRef>
          </c:cat>
          <c:val>
            <c:numRef>
              <c:f>'Taxation &amp; Social Welfare'!$AA$7:$AA$37</c:f>
              <c:numCache/>
            </c:numRef>
          </c:val>
          <c:smooth val="1"/>
        </c:ser>
        <c:ser>
          <c:idx val="1"/>
          <c:order val="1"/>
          <c:tx>
            <c:strRef>
              <c:f>'Taxation &amp; Social Welfare'!$AB$6</c:f>
              <c:strCache>
                <c:ptCount val="1"/>
                <c:pt idx="0">
                  <c:v>Supply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Welfare'!$Z$7:$Z$37</c:f>
              <c:numCache/>
            </c:numRef>
          </c:cat>
          <c:val>
            <c:numRef>
              <c:f>'Taxation &amp; Social Welfare'!$AB$7:$AB$37</c:f>
              <c:numCache/>
            </c:numRef>
          </c:val>
          <c:smooth val="0"/>
        </c:ser>
        <c:ser>
          <c:idx val="2"/>
          <c:order val="2"/>
          <c:tx>
            <c:strRef>
              <c:f>'Taxation &amp; Social Welfare'!$AC$6</c:f>
              <c:strCache>
                <c:ptCount val="1"/>
                <c:pt idx="0">
                  <c:v>Supply +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Welfare'!$Z$7:$Z$37</c:f>
              <c:numCache/>
            </c:numRef>
          </c:cat>
          <c:val>
            <c:numRef>
              <c:f>'Taxation &amp; Social Welfare'!$AC$7:$AC$37</c:f>
              <c:numCache/>
            </c:numRef>
          </c:val>
          <c:smooth val="0"/>
        </c:ser>
        <c:ser>
          <c:idx val="3"/>
          <c:order val="3"/>
          <c:tx>
            <c:strRef>
              <c:f>'Taxation &amp; Social Welfare'!$AD$6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Welfare'!$Z$7:$Z$37</c:f>
              <c:numCache/>
            </c:numRef>
          </c:cat>
          <c:val>
            <c:numRef>
              <c:f>'Taxation &amp; Social Welfare'!$AD$7:$AD$37</c:f>
              <c:numCache/>
            </c:numRef>
          </c:val>
          <c:smooth val="0"/>
        </c:ser>
        <c:ser>
          <c:idx val="4"/>
          <c:order val="4"/>
          <c:tx>
            <c:strRef>
              <c:f>'Taxation &amp; Social Welfare'!$AE$6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Welfare'!$Z$7:$Z$37</c:f>
              <c:numCache/>
            </c:numRef>
          </c:cat>
          <c:val>
            <c:numRef>
              <c:f>'Taxation &amp; Social Welfare'!$AE$7:$AE$37</c:f>
              <c:numCache/>
            </c:numRef>
          </c:val>
          <c:smooth val="0"/>
        </c:ser>
        <c:marker val="1"/>
        <c:axId val="24261512"/>
        <c:axId val="17027017"/>
      </c:lineChart>
      <c:catAx>
        <c:axId val="242615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027017"/>
        <c:crosses val="autoZero"/>
        <c:auto val="0"/>
        <c:lblOffset val="100"/>
        <c:noMultiLvlLbl val="0"/>
      </c:catAx>
      <c:valAx>
        <c:axId val="17027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0.00;[Red]\(&quot;$&quot;#,##0.0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24261512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1"/>
          <c:y val="0.91625"/>
          <c:w val="0.84575"/>
          <c:h val="0.0527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Gross Revenue, Net Revenue, and Taxes</a:t>
            </a:r>
          </a:p>
        </c:rich>
      </c:tx>
      <c:layout>
        <c:manualLayout>
          <c:xMode val="factor"/>
          <c:yMode val="factor"/>
          <c:x val="0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9427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'Taxation &amp; Social Welfare'!$P$6</c:f>
              <c:strCache>
                <c:ptCount val="1"/>
                <c:pt idx="0">
                  <c:v>Gross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'Taxation &amp; Social Welfare'!$O$7:$O$37</c:f>
              <c:numCache/>
            </c:numRef>
          </c:cat>
          <c:val>
            <c:numRef>
              <c:f>'Taxation &amp; Social Welfare'!$P$7:$P$37</c:f>
              <c:numCache/>
            </c:numRef>
          </c:val>
          <c:smooth val="1"/>
        </c:ser>
        <c:ser>
          <c:idx val="1"/>
          <c:order val="1"/>
          <c:tx>
            <c:strRef>
              <c:f>'Taxation &amp; Social Welfare'!$Q$6</c:f>
              <c:strCache>
                <c:ptCount val="1"/>
                <c:pt idx="0">
                  <c:v>Net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Welfare'!$O$7:$O$37</c:f>
              <c:numCache/>
            </c:numRef>
          </c:cat>
          <c:val>
            <c:numRef>
              <c:f>'Taxation &amp; Social Welfare'!$Q$7:$Q$37</c:f>
              <c:numCache/>
            </c:numRef>
          </c:val>
          <c:smooth val="0"/>
        </c:ser>
        <c:ser>
          <c:idx val="2"/>
          <c:order val="2"/>
          <c:tx>
            <c:strRef>
              <c:f>'Taxation &amp; Social Welfare'!$R$6</c:f>
              <c:strCache>
                <c:ptCount val="1"/>
                <c:pt idx="0">
                  <c:v>Taxes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Welfare'!$O$7:$O$37</c:f>
              <c:numCache/>
            </c:numRef>
          </c:cat>
          <c:val>
            <c:numRef>
              <c:f>'Taxation &amp; Social Welfare'!$R$7:$R$37</c:f>
              <c:numCache/>
            </c:numRef>
          </c:val>
          <c:smooth val="0"/>
        </c:ser>
        <c:marker val="1"/>
        <c:axId val="19025426"/>
        <c:axId val="37011107"/>
      </c:lineChart>
      <c:catAx>
        <c:axId val="190254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011107"/>
        <c:crosses val="autoZero"/>
        <c:auto val="0"/>
        <c:lblOffset val="100"/>
        <c:noMultiLvlLbl val="0"/>
      </c:catAx>
      <c:valAx>
        <c:axId val="37011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0.00;[Red]\(&quot;$&quot;#,##0.0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19025426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15"/>
          <c:y val="0.9185"/>
          <c:w val="0.49075"/>
          <c:h val="0.064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chart" Target="/xl/charts/chart2.xml" /><Relationship Id="rId7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10</xdr:col>
      <xdr:colOff>9525</xdr:colOff>
      <xdr:row>48</xdr:row>
      <xdr:rowOff>76200</xdr:rowOff>
    </xdr:to>
    <xdr:graphicFrame>
      <xdr:nvGraphicFramePr>
        <xdr:cNvPr id="1" name="Chart 3"/>
        <xdr:cNvGraphicFramePr/>
      </xdr:nvGraphicFramePr>
      <xdr:xfrm>
        <a:off x="390525" y="6553200"/>
        <a:ext cx="35909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371475</xdr:colOff>
      <xdr:row>55</xdr:row>
      <xdr:rowOff>180975</xdr:rowOff>
    </xdr:from>
    <xdr:to>
      <xdr:col>8</xdr:col>
      <xdr:colOff>333375</xdr:colOff>
      <xdr:row>66</xdr:row>
      <xdr:rowOff>85725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0715625"/>
          <a:ext cx="3228975" cy="22002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381000</xdr:colOff>
      <xdr:row>68</xdr:row>
      <xdr:rowOff>76200</xdr:rowOff>
    </xdr:from>
    <xdr:to>
      <xdr:col>8</xdr:col>
      <xdr:colOff>314325</xdr:colOff>
      <xdr:row>78</xdr:row>
      <xdr:rowOff>152400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3287375"/>
          <a:ext cx="3200400" cy="21526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314325</xdr:colOff>
      <xdr:row>82</xdr:row>
      <xdr:rowOff>161925</xdr:rowOff>
    </xdr:from>
    <xdr:to>
      <xdr:col>8</xdr:col>
      <xdr:colOff>285750</xdr:colOff>
      <xdr:row>93</xdr:row>
      <xdr:rowOff>123825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16173450"/>
          <a:ext cx="3238500" cy="22574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342900</xdr:colOff>
      <xdr:row>95</xdr:row>
      <xdr:rowOff>180975</xdr:rowOff>
    </xdr:from>
    <xdr:to>
      <xdr:col>8</xdr:col>
      <xdr:colOff>285750</xdr:colOff>
      <xdr:row>106</xdr:row>
      <xdr:rowOff>47625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18869025"/>
          <a:ext cx="3209925" cy="21526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390525</xdr:colOff>
      <xdr:row>32</xdr:row>
      <xdr:rowOff>0</xdr:rowOff>
    </xdr:from>
    <xdr:to>
      <xdr:col>10</xdr:col>
      <xdr:colOff>9525</xdr:colOff>
      <xdr:row>48</xdr:row>
      <xdr:rowOff>152400</xdr:rowOff>
    </xdr:to>
    <xdr:graphicFrame>
      <xdr:nvGraphicFramePr>
        <xdr:cNvPr id="6" name="Chart 24"/>
        <xdr:cNvGraphicFramePr/>
      </xdr:nvGraphicFramePr>
      <xdr:xfrm>
        <a:off x="390525" y="6553200"/>
        <a:ext cx="3590925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19050</xdr:colOff>
      <xdr:row>31</xdr:row>
      <xdr:rowOff>171450</xdr:rowOff>
    </xdr:from>
    <xdr:to>
      <xdr:col>18</xdr:col>
      <xdr:colOff>19050</xdr:colOff>
      <xdr:row>49</xdr:row>
      <xdr:rowOff>0</xdr:rowOff>
    </xdr:to>
    <xdr:graphicFrame>
      <xdr:nvGraphicFramePr>
        <xdr:cNvPr id="7" name="Chart 25"/>
        <xdr:cNvGraphicFramePr/>
      </xdr:nvGraphicFramePr>
      <xdr:xfrm>
        <a:off x="3990975" y="6515100"/>
        <a:ext cx="3619500" cy="3028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08"/>
  <sheetViews>
    <sheetView tabSelected="1" workbookViewId="0" topLeftCell="A1">
      <selection activeCell="R3" sqref="R3"/>
    </sheetView>
  </sheetViews>
  <sheetFormatPr defaultColWidth="11.00390625" defaultRowHeight="12.75"/>
  <cols>
    <col min="1" max="1" width="5.125" style="5" customWidth="1"/>
    <col min="2" max="2" width="4.125" style="5" customWidth="1"/>
    <col min="3" max="3" width="5.75390625" style="5" customWidth="1"/>
    <col min="4" max="4" width="5.00390625" style="5" customWidth="1"/>
    <col min="5" max="5" width="6.00390625" style="5" customWidth="1"/>
    <col min="6" max="6" width="2.125" style="5" customWidth="1"/>
    <col min="7" max="7" width="6.375" style="5" customWidth="1"/>
    <col min="8" max="8" width="8.375" style="6" customWidth="1"/>
    <col min="9" max="9" width="6.125" style="5" customWidth="1"/>
    <col min="10" max="10" width="3.125" style="5" customWidth="1"/>
    <col min="11" max="11" width="4.75390625" style="5" customWidth="1"/>
    <col min="12" max="12" width="8.00390625" style="13" customWidth="1"/>
    <col min="13" max="13" width="7.75390625" style="5" customWidth="1"/>
    <col min="14" max="14" width="2.00390625" style="5" customWidth="1"/>
    <col min="15" max="15" width="4.25390625" style="5" customWidth="1"/>
    <col min="16" max="16" width="7.125" style="5" customWidth="1"/>
    <col min="17" max="17" width="7.25390625" style="5" customWidth="1"/>
    <col min="18" max="18" width="6.375" style="5" customWidth="1"/>
    <col min="19" max="25" width="2.25390625" style="5" customWidth="1"/>
    <col min="26" max="26" width="1.12109375" style="5" customWidth="1"/>
    <col min="27" max="31" width="1.75390625" style="5" customWidth="1"/>
    <col min="32" max="32" width="8.25390625" style="5" customWidth="1"/>
    <col min="33" max="33" width="7.875" style="5" customWidth="1"/>
    <col min="34" max="35" width="10.75390625" style="5" customWidth="1"/>
    <col min="36" max="36" width="5.625" style="5" customWidth="1"/>
    <col min="37" max="37" width="6.125" style="5" customWidth="1"/>
    <col min="38" max="38" width="6.875" style="5" customWidth="1"/>
    <col min="39" max="16384" width="10.75390625" style="5" customWidth="1"/>
  </cols>
  <sheetData>
    <row r="1" ht="13.5" thickBot="1"/>
    <row r="2" spans="5:18" ht="13.5" thickBot="1">
      <c r="E2" s="81"/>
      <c r="F2" s="82"/>
      <c r="G2" s="82"/>
      <c r="H2" s="82"/>
      <c r="I2" s="82"/>
      <c r="J2" s="70" t="s">
        <v>0</v>
      </c>
      <c r="K2" s="82"/>
      <c r="L2" s="82"/>
      <c r="M2" s="82"/>
      <c r="N2" s="83"/>
      <c r="O2" s="84"/>
      <c r="R2" s="2"/>
    </row>
    <row r="3" spans="2:17" ht="13.5" customHeight="1">
      <c r="B3" s="5" t="s">
        <v>54</v>
      </c>
      <c r="P3" s="2"/>
      <c r="Q3" s="2" t="s">
        <v>53</v>
      </c>
    </row>
    <row r="4" spans="3:15" ht="15.75">
      <c r="C4" s="4" t="s">
        <v>1</v>
      </c>
      <c r="E4" s="4" t="s">
        <v>2</v>
      </c>
      <c r="N4" s="4" t="s">
        <v>3</v>
      </c>
      <c r="O4" s="85"/>
    </row>
    <row r="5" spans="2:16" ht="16.5" thickBot="1">
      <c r="B5" s="2" t="s">
        <v>4</v>
      </c>
      <c r="C5" s="85"/>
      <c r="D5" s="2" t="s">
        <v>5</v>
      </c>
      <c r="E5" s="1" t="s">
        <v>6</v>
      </c>
      <c r="G5" s="3" t="s">
        <v>7</v>
      </c>
      <c r="L5" s="85"/>
      <c r="O5" s="1"/>
      <c r="P5" s="4" t="s">
        <v>8</v>
      </c>
    </row>
    <row r="6" spans="2:33" ht="16.5" thickBot="1">
      <c r="B6" s="8" t="s">
        <v>9</v>
      </c>
      <c r="C6" s="9" t="s">
        <v>10</v>
      </c>
      <c r="D6" s="9" t="s">
        <v>11</v>
      </c>
      <c r="E6" s="10" t="s">
        <v>12</v>
      </c>
      <c r="G6" s="18" t="s">
        <v>13</v>
      </c>
      <c r="H6" s="37">
        <v>24</v>
      </c>
      <c r="I6" s="37">
        <v>-2</v>
      </c>
      <c r="J6" s="24" t="s">
        <v>14</v>
      </c>
      <c r="L6" s="7" t="s">
        <v>15</v>
      </c>
      <c r="M6" s="85"/>
      <c r="O6" s="8" t="s">
        <v>9</v>
      </c>
      <c r="P6" s="9" t="s">
        <v>16</v>
      </c>
      <c r="Q6" s="10" t="s">
        <v>17</v>
      </c>
      <c r="R6" s="62" t="s">
        <v>18</v>
      </c>
      <c r="Z6" s="86" t="str">
        <f aca="true" t="shared" si="0" ref="Z6:Z37">B6</f>
        <v>Q</v>
      </c>
      <c r="AA6" s="86" t="s">
        <v>1</v>
      </c>
      <c r="AB6" s="86" t="s">
        <v>5</v>
      </c>
      <c r="AC6" s="87" t="s">
        <v>19</v>
      </c>
      <c r="AD6" s="14"/>
      <c r="AF6" s="85"/>
      <c r="AG6" s="85"/>
    </row>
    <row r="7" spans="2:33" ht="16.5" thickBot="1">
      <c r="B7" s="26">
        <v>0</v>
      </c>
      <c r="C7" s="11">
        <f aca="true" t="shared" si="1" ref="C7:C37">($H$6-B7)/(-$I$6)</f>
        <v>12</v>
      </c>
      <c r="D7" s="11">
        <f aca="true" t="shared" si="2" ref="D7:D37">(B7-$H$7)/$I$7</f>
        <v>-0.5</v>
      </c>
      <c r="E7" s="12">
        <f aca="true" t="shared" si="3" ref="E7:E37">D7+$I$19</f>
        <v>0.6299999999999999</v>
      </c>
      <c r="G7" s="21" t="s">
        <v>20</v>
      </c>
      <c r="H7" s="38">
        <v>2</v>
      </c>
      <c r="I7" s="38">
        <v>4</v>
      </c>
      <c r="J7" s="25" t="s">
        <v>14</v>
      </c>
      <c r="L7" s="69">
        <v>1.13</v>
      </c>
      <c r="M7" s="85"/>
      <c r="N7" s="13"/>
      <c r="O7" s="63">
        <v>0</v>
      </c>
      <c r="P7" s="64">
        <v>0</v>
      </c>
      <c r="Q7" s="65">
        <f aca="true" t="shared" si="4" ref="Q7:Q37">IF((P7-$L$7*O7)&lt;0,0,(P7-$L$7*O7))</f>
        <v>0</v>
      </c>
      <c r="R7" s="66">
        <f>P7-Q7</f>
        <v>0</v>
      </c>
      <c r="Z7" s="5">
        <f t="shared" si="0"/>
        <v>0</v>
      </c>
      <c r="AA7" s="13">
        <f aca="true" t="shared" si="5" ref="AA7:AA37">IF(C7&gt;0,C7,)</f>
        <v>12</v>
      </c>
      <c r="AB7" s="13">
        <f aca="true" t="shared" si="6" ref="AB7:AB37">D7</f>
        <v>-0.5</v>
      </c>
      <c r="AC7" s="13">
        <f aca="true" t="shared" si="7" ref="AC7:AC37">E7</f>
        <v>0.6299999999999999</v>
      </c>
      <c r="AD7" s="88">
        <f aca="true" t="shared" si="8" ref="AD7:AD37">IF(Z7&lt;=$H$23,$H$24,)</f>
        <v>4.419999999999999</v>
      </c>
      <c r="AE7" s="88">
        <f aca="true" t="shared" si="9" ref="AE7:AE37">IF($H$23&gt;=Z7,($H$24-$L$7),)</f>
        <v>3.289999999999999</v>
      </c>
      <c r="AF7" s="85"/>
      <c r="AG7" s="85"/>
    </row>
    <row r="8" spans="2:33" ht="16.5" thickBot="1">
      <c r="B8" s="26">
        <v>1</v>
      </c>
      <c r="C8" s="11">
        <f t="shared" si="1"/>
        <v>11.5</v>
      </c>
      <c r="D8" s="11">
        <f t="shared" si="2"/>
        <v>-0.25</v>
      </c>
      <c r="E8" s="12">
        <f t="shared" si="3"/>
        <v>0.8799999999999999</v>
      </c>
      <c r="G8" s="3" t="s">
        <v>21</v>
      </c>
      <c r="M8" s="13"/>
      <c r="N8" s="13"/>
      <c r="O8" s="26">
        <v>1</v>
      </c>
      <c r="P8" s="11">
        <f aca="true" t="shared" si="10" ref="P8:P37">IF(C8*O8&gt;0,C8*O8,)</f>
        <v>11.5</v>
      </c>
      <c r="Q8" s="11">
        <f t="shared" si="4"/>
        <v>10.370000000000001</v>
      </c>
      <c r="R8" s="68">
        <f aca="true" t="shared" si="11" ref="R8:R37">IF(Q8&lt;=0,0,P8-Q8)</f>
        <v>1.129999999999999</v>
      </c>
      <c r="Z8" s="5">
        <f t="shared" si="0"/>
        <v>1</v>
      </c>
      <c r="AA8" s="13">
        <f t="shared" si="5"/>
        <v>11.5</v>
      </c>
      <c r="AB8" s="13">
        <f t="shared" si="6"/>
        <v>-0.25</v>
      </c>
      <c r="AC8" s="13">
        <f t="shared" si="7"/>
        <v>0.8799999999999999</v>
      </c>
      <c r="AD8" s="88">
        <f t="shared" si="8"/>
        <v>4.419999999999999</v>
      </c>
      <c r="AE8" s="88">
        <f t="shared" si="9"/>
        <v>3.289999999999999</v>
      </c>
      <c r="AF8" s="85"/>
      <c r="AG8" s="85"/>
    </row>
    <row r="9" spans="2:33" ht="15.75">
      <c r="B9" s="26">
        <v>2</v>
      </c>
      <c r="C9" s="11">
        <f t="shared" si="1"/>
        <v>11</v>
      </c>
      <c r="D9" s="11">
        <f t="shared" si="2"/>
        <v>0</v>
      </c>
      <c r="E9" s="12">
        <f t="shared" si="3"/>
        <v>1.13</v>
      </c>
      <c r="G9" s="18" t="s">
        <v>22</v>
      </c>
      <c r="H9" s="37">
        <f>H6/(-I6)</f>
        <v>12</v>
      </c>
      <c r="I9" s="37">
        <f>1/I6</f>
        <v>-0.5</v>
      </c>
      <c r="J9" s="19" t="s">
        <v>23</v>
      </c>
      <c r="K9" s="20"/>
      <c r="L9" s="85"/>
      <c r="M9" s="13"/>
      <c r="N9" s="13"/>
      <c r="O9" s="26">
        <v>2</v>
      </c>
      <c r="P9" s="11">
        <f t="shared" si="10"/>
        <v>22</v>
      </c>
      <c r="Q9" s="11">
        <f t="shared" si="4"/>
        <v>19.740000000000002</v>
      </c>
      <c r="R9" s="68">
        <f t="shared" si="11"/>
        <v>2.259999999999998</v>
      </c>
      <c r="Z9" s="5">
        <f t="shared" si="0"/>
        <v>2</v>
      </c>
      <c r="AA9" s="13">
        <f t="shared" si="5"/>
        <v>11</v>
      </c>
      <c r="AB9" s="13">
        <f t="shared" si="6"/>
        <v>0</v>
      </c>
      <c r="AC9" s="13">
        <f t="shared" si="7"/>
        <v>1.13</v>
      </c>
      <c r="AD9" s="88">
        <f t="shared" si="8"/>
        <v>4.419999999999999</v>
      </c>
      <c r="AE9" s="88">
        <f t="shared" si="9"/>
        <v>3.289999999999999</v>
      </c>
      <c r="AF9" s="85"/>
      <c r="AG9" s="85"/>
    </row>
    <row r="10" spans="2:33" ht="16.5" thickBot="1">
      <c r="B10" s="26">
        <v>3</v>
      </c>
      <c r="C10" s="11">
        <f t="shared" si="1"/>
        <v>10.5</v>
      </c>
      <c r="D10" s="11">
        <f t="shared" si="2"/>
        <v>0.25</v>
      </c>
      <c r="E10" s="12">
        <f t="shared" si="3"/>
        <v>1.38</v>
      </c>
      <c r="G10" s="21" t="s">
        <v>24</v>
      </c>
      <c r="H10" s="38">
        <f>-H7/I7</f>
        <v>-0.5</v>
      </c>
      <c r="I10" s="38">
        <f>1/I7</f>
        <v>0.25</v>
      </c>
      <c r="J10" s="22" t="s">
        <v>25</v>
      </c>
      <c r="K10" s="23"/>
      <c r="L10" s="85"/>
      <c r="M10" s="13"/>
      <c r="N10" s="13"/>
      <c r="O10" s="26">
        <v>3</v>
      </c>
      <c r="P10" s="11">
        <f t="shared" si="10"/>
        <v>31.5</v>
      </c>
      <c r="Q10" s="11">
        <f t="shared" si="4"/>
        <v>28.11</v>
      </c>
      <c r="R10" s="68">
        <f t="shared" si="11"/>
        <v>3.3900000000000006</v>
      </c>
      <c r="Z10" s="5">
        <f t="shared" si="0"/>
        <v>3</v>
      </c>
      <c r="AA10" s="13">
        <f t="shared" si="5"/>
        <v>10.5</v>
      </c>
      <c r="AB10" s="13">
        <f t="shared" si="6"/>
        <v>0.25</v>
      </c>
      <c r="AC10" s="13">
        <f t="shared" si="7"/>
        <v>1.38</v>
      </c>
      <c r="AD10" s="88">
        <f t="shared" si="8"/>
        <v>4.419999999999999</v>
      </c>
      <c r="AE10" s="88">
        <f t="shared" si="9"/>
        <v>3.289999999999999</v>
      </c>
      <c r="AF10" s="85"/>
      <c r="AG10" s="85"/>
    </row>
    <row r="11" spans="2:33" ht="16.5" thickBot="1">
      <c r="B11" s="26">
        <v>4</v>
      </c>
      <c r="C11" s="11">
        <f t="shared" si="1"/>
        <v>10</v>
      </c>
      <c r="D11" s="11">
        <f t="shared" si="2"/>
        <v>0.5</v>
      </c>
      <c r="E11" s="12">
        <f t="shared" si="3"/>
        <v>1.63</v>
      </c>
      <c r="G11" s="3" t="s">
        <v>26</v>
      </c>
      <c r="M11" s="13"/>
      <c r="N11" s="13"/>
      <c r="O11" s="26">
        <v>4</v>
      </c>
      <c r="P11" s="11">
        <f t="shared" si="10"/>
        <v>40</v>
      </c>
      <c r="Q11" s="11">
        <f t="shared" si="4"/>
        <v>35.480000000000004</v>
      </c>
      <c r="R11" s="68">
        <f t="shared" si="11"/>
        <v>4.519999999999996</v>
      </c>
      <c r="Z11" s="5">
        <f t="shared" si="0"/>
        <v>4</v>
      </c>
      <c r="AA11" s="13">
        <f t="shared" si="5"/>
        <v>10</v>
      </c>
      <c r="AB11" s="13">
        <f t="shared" si="6"/>
        <v>0.5</v>
      </c>
      <c r="AC11" s="13">
        <f t="shared" si="7"/>
        <v>1.63</v>
      </c>
      <c r="AD11" s="88">
        <f t="shared" si="8"/>
        <v>4.419999999999999</v>
      </c>
      <c r="AE11" s="88">
        <f t="shared" si="9"/>
        <v>3.289999999999999</v>
      </c>
      <c r="AF11" s="85"/>
      <c r="AG11" s="85"/>
    </row>
    <row r="12" spans="2:33" ht="16.5" thickBot="1">
      <c r="B12" s="26">
        <v>5</v>
      </c>
      <c r="C12" s="11">
        <f t="shared" si="1"/>
        <v>9.5</v>
      </c>
      <c r="D12" s="11">
        <f t="shared" si="2"/>
        <v>0.75</v>
      </c>
      <c r="E12" s="12">
        <f t="shared" si="3"/>
        <v>1.88</v>
      </c>
      <c r="G12" s="30" t="s">
        <v>27</v>
      </c>
      <c r="H12" s="31">
        <f>(H9-H10)/(-I9+I10)</f>
        <v>16.666666666666668</v>
      </c>
      <c r="I12" s="32" t="s">
        <v>28</v>
      </c>
      <c r="J12" s="33"/>
      <c r="M12" s="13"/>
      <c r="N12" s="13"/>
      <c r="O12" s="26">
        <v>5</v>
      </c>
      <c r="P12" s="11">
        <f t="shared" si="10"/>
        <v>47.5</v>
      </c>
      <c r="Q12" s="11">
        <f t="shared" si="4"/>
        <v>41.85</v>
      </c>
      <c r="R12" s="68">
        <f t="shared" si="11"/>
        <v>5.649999999999999</v>
      </c>
      <c r="Z12" s="5">
        <f t="shared" si="0"/>
        <v>5</v>
      </c>
      <c r="AA12" s="13">
        <f t="shared" si="5"/>
        <v>9.5</v>
      </c>
      <c r="AB12" s="13">
        <f t="shared" si="6"/>
        <v>0.75</v>
      </c>
      <c r="AC12" s="13">
        <f t="shared" si="7"/>
        <v>1.88</v>
      </c>
      <c r="AD12" s="88">
        <f t="shared" si="8"/>
        <v>4.419999999999999</v>
      </c>
      <c r="AE12" s="88">
        <f t="shared" si="9"/>
        <v>3.289999999999999</v>
      </c>
      <c r="AF12" s="85"/>
      <c r="AG12" s="85"/>
    </row>
    <row r="13" spans="2:33" ht="16.5" thickBot="1">
      <c r="B13" s="26">
        <v>6</v>
      </c>
      <c r="C13" s="11">
        <f t="shared" si="1"/>
        <v>9</v>
      </c>
      <c r="D13" s="11">
        <f t="shared" si="2"/>
        <v>1</v>
      </c>
      <c r="E13" s="12">
        <f t="shared" si="3"/>
        <v>2.13</v>
      </c>
      <c r="G13" s="18" t="s">
        <v>29</v>
      </c>
      <c r="H13" s="34">
        <f>H9+H12*I9</f>
        <v>3.666666666666666</v>
      </c>
      <c r="J13" s="85"/>
      <c r="K13" s="28" t="s">
        <v>30</v>
      </c>
      <c r="L13" s="29">
        <f>H13/(I9*H12)</f>
        <v>-0.4399999999999999</v>
      </c>
      <c r="M13" s="13"/>
      <c r="N13" s="13"/>
      <c r="O13" s="26">
        <v>6</v>
      </c>
      <c r="P13" s="11">
        <f t="shared" si="10"/>
        <v>54</v>
      </c>
      <c r="Q13" s="11">
        <f t="shared" si="4"/>
        <v>47.22</v>
      </c>
      <c r="R13" s="68">
        <f t="shared" si="11"/>
        <v>6.780000000000001</v>
      </c>
      <c r="Z13" s="5">
        <f t="shared" si="0"/>
        <v>6</v>
      </c>
      <c r="AA13" s="13">
        <f t="shared" si="5"/>
        <v>9</v>
      </c>
      <c r="AB13" s="13">
        <f t="shared" si="6"/>
        <v>1</v>
      </c>
      <c r="AC13" s="13">
        <f t="shared" si="7"/>
        <v>2.13</v>
      </c>
      <c r="AD13" s="88">
        <f t="shared" si="8"/>
        <v>4.419999999999999</v>
      </c>
      <c r="AE13" s="88">
        <f t="shared" si="9"/>
        <v>3.289999999999999</v>
      </c>
      <c r="AF13" s="85"/>
      <c r="AG13" s="85"/>
    </row>
    <row r="14" spans="2:33" ht="16.5" thickBot="1">
      <c r="B14" s="26">
        <v>7</v>
      </c>
      <c r="C14" s="11">
        <f t="shared" si="1"/>
        <v>8.5</v>
      </c>
      <c r="D14" s="11">
        <f t="shared" si="2"/>
        <v>1.25</v>
      </c>
      <c r="E14" s="12">
        <f t="shared" si="3"/>
        <v>2.38</v>
      </c>
      <c r="G14" s="21" t="s">
        <v>31</v>
      </c>
      <c r="H14" s="35">
        <f>H12*H13</f>
        <v>61.11111111111111</v>
      </c>
      <c r="M14" s="13"/>
      <c r="N14" s="13"/>
      <c r="O14" s="26">
        <v>7</v>
      </c>
      <c r="P14" s="11">
        <f t="shared" si="10"/>
        <v>59.5</v>
      </c>
      <c r="Q14" s="11">
        <f t="shared" si="4"/>
        <v>51.59</v>
      </c>
      <c r="R14" s="68">
        <f t="shared" si="11"/>
        <v>7.909999999999997</v>
      </c>
      <c r="Z14" s="5">
        <f t="shared" si="0"/>
        <v>7</v>
      </c>
      <c r="AA14" s="13">
        <f t="shared" si="5"/>
        <v>8.5</v>
      </c>
      <c r="AB14" s="13">
        <f t="shared" si="6"/>
        <v>1.25</v>
      </c>
      <c r="AC14" s="13">
        <f t="shared" si="7"/>
        <v>2.38</v>
      </c>
      <c r="AD14" s="88">
        <f t="shared" si="8"/>
        <v>4.419999999999999</v>
      </c>
      <c r="AE14" s="88">
        <f t="shared" si="9"/>
        <v>3.289999999999999</v>
      </c>
      <c r="AF14" s="85"/>
      <c r="AG14" s="85"/>
    </row>
    <row r="15" spans="2:33" ht="16.5" thickBot="1">
      <c r="B15" s="26">
        <v>8</v>
      </c>
      <c r="C15" s="11">
        <f t="shared" si="1"/>
        <v>8</v>
      </c>
      <c r="D15" s="11">
        <f t="shared" si="2"/>
        <v>1.5</v>
      </c>
      <c r="E15" s="12">
        <f t="shared" si="3"/>
        <v>2.63</v>
      </c>
      <c r="G15" s="3" t="s">
        <v>32</v>
      </c>
      <c r="L15" s="5"/>
      <c r="M15" s="85"/>
      <c r="N15" s="13"/>
      <c r="O15" s="26">
        <v>8</v>
      </c>
      <c r="P15" s="11">
        <f t="shared" si="10"/>
        <v>64</v>
      </c>
      <c r="Q15" s="11">
        <f t="shared" si="4"/>
        <v>54.96</v>
      </c>
      <c r="R15" s="68">
        <f t="shared" si="11"/>
        <v>9.04</v>
      </c>
      <c r="Z15" s="5">
        <f t="shared" si="0"/>
        <v>8</v>
      </c>
      <c r="AA15" s="13">
        <f t="shared" si="5"/>
        <v>8</v>
      </c>
      <c r="AB15" s="13">
        <f t="shared" si="6"/>
        <v>1.5</v>
      </c>
      <c r="AC15" s="13">
        <f t="shared" si="7"/>
        <v>2.63</v>
      </c>
      <c r="AD15" s="88">
        <f t="shared" si="8"/>
        <v>4.419999999999999</v>
      </c>
      <c r="AE15" s="88">
        <f t="shared" si="9"/>
        <v>3.289999999999999</v>
      </c>
      <c r="AF15" s="85"/>
      <c r="AG15" s="85"/>
    </row>
    <row r="16" spans="2:33" ht="16.5" thickBot="1">
      <c r="B16" s="26">
        <v>9</v>
      </c>
      <c r="C16" s="11">
        <f t="shared" si="1"/>
        <v>7.5</v>
      </c>
      <c r="D16" s="11">
        <f t="shared" si="2"/>
        <v>1.75</v>
      </c>
      <c r="E16" s="12">
        <f t="shared" si="3"/>
        <v>2.88</v>
      </c>
      <c r="G16" s="28" t="s">
        <v>33</v>
      </c>
      <c r="H16" s="36">
        <f>(H9-H10)*(H12)*(0.5)</f>
        <v>104.16666666666667</v>
      </c>
      <c r="M16" s="85"/>
      <c r="N16" s="13"/>
      <c r="O16" s="26">
        <v>9</v>
      </c>
      <c r="P16" s="11">
        <f t="shared" si="10"/>
        <v>67.5</v>
      </c>
      <c r="Q16" s="11">
        <f t="shared" si="4"/>
        <v>57.33</v>
      </c>
      <c r="R16" s="68">
        <f t="shared" si="11"/>
        <v>10.170000000000002</v>
      </c>
      <c r="Z16" s="5">
        <f t="shared" si="0"/>
        <v>9</v>
      </c>
      <c r="AA16" s="13">
        <f t="shared" si="5"/>
        <v>7.5</v>
      </c>
      <c r="AB16" s="13">
        <f t="shared" si="6"/>
        <v>1.75</v>
      </c>
      <c r="AC16" s="13">
        <f t="shared" si="7"/>
        <v>2.88</v>
      </c>
      <c r="AD16" s="88">
        <f t="shared" si="8"/>
        <v>4.419999999999999</v>
      </c>
      <c r="AE16" s="88">
        <f t="shared" si="9"/>
        <v>3.289999999999999</v>
      </c>
      <c r="AF16" s="85"/>
      <c r="AG16" s="85"/>
    </row>
    <row r="17" spans="2:33" ht="16.5" thickBot="1">
      <c r="B17" s="26">
        <v>10</v>
      </c>
      <c r="C17" s="11">
        <f t="shared" si="1"/>
        <v>7</v>
      </c>
      <c r="D17" s="11">
        <f t="shared" si="2"/>
        <v>2</v>
      </c>
      <c r="E17" s="12">
        <f t="shared" si="3"/>
        <v>3.13</v>
      </c>
      <c r="H17" s="5"/>
      <c r="M17" s="13"/>
      <c r="N17" s="13"/>
      <c r="O17" s="26">
        <v>10</v>
      </c>
      <c r="P17" s="11">
        <f t="shared" si="10"/>
        <v>70</v>
      </c>
      <c r="Q17" s="11">
        <f t="shared" si="4"/>
        <v>58.7</v>
      </c>
      <c r="R17" s="68">
        <f t="shared" si="11"/>
        <v>11.299999999999997</v>
      </c>
      <c r="Z17" s="5">
        <f t="shared" si="0"/>
        <v>10</v>
      </c>
      <c r="AA17" s="13">
        <f t="shared" si="5"/>
        <v>7</v>
      </c>
      <c r="AB17" s="13">
        <f t="shared" si="6"/>
        <v>2</v>
      </c>
      <c r="AC17" s="13">
        <f t="shared" si="7"/>
        <v>3.13</v>
      </c>
      <c r="AD17" s="88">
        <f t="shared" si="8"/>
        <v>4.419999999999999</v>
      </c>
      <c r="AE17" s="88">
        <f t="shared" si="9"/>
        <v>3.289999999999999</v>
      </c>
      <c r="AF17" s="85"/>
      <c r="AG17" s="85"/>
    </row>
    <row r="18" spans="2:33" ht="16.5" thickBot="1">
      <c r="B18" s="26">
        <v>11</v>
      </c>
      <c r="C18" s="11">
        <f t="shared" si="1"/>
        <v>6.5</v>
      </c>
      <c r="D18" s="11">
        <f t="shared" si="2"/>
        <v>2.25</v>
      </c>
      <c r="E18" s="12">
        <f t="shared" si="3"/>
        <v>3.38</v>
      </c>
      <c r="G18" s="28" t="s">
        <v>34</v>
      </c>
      <c r="H18" s="39"/>
      <c r="I18" s="40"/>
      <c r="J18" s="40"/>
      <c r="K18" s="40"/>
      <c r="L18" s="49"/>
      <c r="M18" s="50"/>
      <c r="N18" s="13"/>
      <c r="O18" s="26">
        <v>11</v>
      </c>
      <c r="P18" s="11">
        <f t="shared" si="10"/>
        <v>71.5</v>
      </c>
      <c r="Q18" s="11">
        <f t="shared" si="4"/>
        <v>59.07</v>
      </c>
      <c r="R18" s="68">
        <f t="shared" si="11"/>
        <v>12.43</v>
      </c>
      <c r="Z18" s="5">
        <f t="shared" si="0"/>
        <v>11</v>
      </c>
      <c r="AA18" s="13">
        <f t="shared" si="5"/>
        <v>6.5</v>
      </c>
      <c r="AB18" s="13">
        <f t="shared" si="6"/>
        <v>2.25</v>
      </c>
      <c r="AC18" s="13">
        <f t="shared" si="7"/>
        <v>3.38</v>
      </c>
      <c r="AD18" s="88">
        <f t="shared" si="8"/>
        <v>4.419999999999999</v>
      </c>
      <c r="AE18" s="88">
        <f t="shared" si="9"/>
        <v>3.289999999999999</v>
      </c>
      <c r="AF18" s="85"/>
      <c r="AG18" s="85"/>
    </row>
    <row r="19" spans="2:33" ht="16.5" thickBot="1">
      <c r="B19" s="26">
        <v>12</v>
      </c>
      <c r="C19" s="11">
        <f t="shared" si="1"/>
        <v>6</v>
      </c>
      <c r="D19" s="11">
        <f t="shared" si="2"/>
        <v>2.5</v>
      </c>
      <c r="E19" s="12">
        <f t="shared" si="3"/>
        <v>3.63</v>
      </c>
      <c r="G19" s="89"/>
      <c r="H19" s="45" t="s">
        <v>35</v>
      </c>
      <c r="I19" s="36">
        <f>L7</f>
        <v>1.13</v>
      </c>
      <c r="L19" s="7" t="s">
        <v>36</v>
      </c>
      <c r="M19" s="13"/>
      <c r="N19" s="13"/>
      <c r="O19" s="26">
        <v>12</v>
      </c>
      <c r="P19" s="11">
        <f t="shared" si="10"/>
        <v>72</v>
      </c>
      <c r="Q19" s="11">
        <f t="shared" si="4"/>
        <v>58.44</v>
      </c>
      <c r="R19" s="68">
        <f t="shared" si="11"/>
        <v>13.560000000000002</v>
      </c>
      <c r="Z19" s="5">
        <f t="shared" si="0"/>
        <v>12</v>
      </c>
      <c r="AA19" s="13">
        <f t="shared" si="5"/>
        <v>6</v>
      </c>
      <c r="AB19" s="13">
        <f t="shared" si="6"/>
        <v>2.5</v>
      </c>
      <c r="AC19" s="13">
        <f t="shared" si="7"/>
        <v>3.63</v>
      </c>
      <c r="AD19" s="88">
        <f t="shared" si="8"/>
        <v>4.419999999999999</v>
      </c>
      <c r="AE19" s="88">
        <f t="shared" si="9"/>
        <v>3.289999999999999</v>
      </c>
      <c r="AF19" s="85"/>
      <c r="AG19" s="85"/>
    </row>
    <row r="20" spans="2:33" ht="15.75">
      <c r="B20" s="26">
        <v>13</v>
      </c>
      <c r="C20" s="11">
        <f t="shared" si="1"/>
        <v>5.5</v>
      </c>
      <c r="D20" s="11">
        <f t="shared" si="2"/>
        <v>2.75</v>
      </c>
      <c r="E20" s="12">
        <f t="shared" si="3"/>
        <v>3.88</v>
      </c>
      <c r="G20" s="18" t="s">
        <v>22</v>
      </c>
      <c r="H20" s="37">
        <f>H9</f>
        <v>12</v>
      </c>
      <c r="I20" s="37">
        <f>I9</f>
        <v>-0.5</v>
      </c>
      <c r="J20" s="24" t="str">
        <f>J9</f>
        <v>Qd</v>
      </c>
      <c r="L20" s="60">
        <f>ABS(I9)/SUM(ABS(I9),I10)</f>
        <v>0.6666666666666666</v>
      </c>
      <c r="M20" s="13"/>
      <c r="N20" s="13"/>
      <c r="O20" s="26">
        <v>13</v>
      </c>
      <c r="P20" s="11">
        <f t="shared" si="10"/>
        <v>71.5</v>
      </c>
      <c r="Q20" s="11">
        <f t="shared" si="4"/>
        <v>56.81</v>
      </c>
      <c r="R20" s="68">
        <f t="shared" si="11"/>
        <v>14.689999999999998</v>
      </c>
      <c r="Z20" s="5">
        <f t="shared" si="0"/>
        <v>13</v>
      </c>
      <c r="AA20" s="13">
        <f t="shared" si="5"/>
        <v>5.5</v>
      </c>
      <c r="AB20" s="13">
        <f t="shared" si="6"/>
        <v>2.75</v>
      </c>
      <c r="AC20" s="13">
        <f t="shared" si="7"/>
        <v>3.88</v>
      </c>
      <c r="AD20" s="88">
        <f t="shared" si="8"/>
        <v>4.419999999999999</v>
      </c>
      <c r="AE20" s="88">
        <f t="shared" si="9"/>
        <v>3.289999999999999</v>
      </c>
      <c r="AF20" s="85"/>
      <c r="AG20" s="85"/>
    </row>
    <row r="21" spans="2:33" ht="16.5" thickBot="1">
      <c r="B21" s="26">
        <v>14</v>
      </c>
      <c r="C21" s="11">
        <f t="shared" si="1"/>
        <v>5</v>
      </c>
      <c r="D21" s="11">
        <f t="shared" si="2"/>
        <v>3</v>
      </c>
      <c r="E21" s="12">
        <f t="shared" si="3"/>
        <v>4.13</v>
      </c>
      <c r="G21" s="21" t="s">
        <v>24</v>
      </c>
      <c r="H21" s="38">
        <f>H10+I19</f>
        <v>0.6299999999999999</v>
      </c>
      <c r="I21" s="38">
        <f>I10</f>
        <v>0.25</v>
      </c>
      <c r="J21" s="25" t="str">
        <f>J10</f>
        <v>Qs</v>
      </c>
      <c r="L21" s="61">
        <f>I10/SUM(ABS(I9),I10)</f>
        <v>0.3333333333333333</v>
      </c>
      <c r="M21" s="13"/>
      <c r="N21" s="13"/>
      <c r="O21" s="26">
        <v>14</v>
      </c>
      <c r="P21" s="11">
        <f t="shared" si="10"/>
        <v>70</v>
      </c>
      <c r="Q21" s="11">
        <f t="shared" si="4"/>
        <v>54.18</v>
      </c>
      <c r="R21" s="68">
        <f t="shared" si="11"/>
        <v>15.82</v>
      </c>
      <c r="Z21" s="5">
        <f t="shared" si="0"/>
        <v>14</v>
      </c>
      <c r="AA21" s="13">
        <f t="shared" si="5"/>
        <v>5</v>
      </c>
      <c r="AB21" s="13">
        <f t="shared" si="6"/>
        <v>3</v>
      </c>
      <c r="AC21" s="13">
        <f t="shared" si="7"/>
        <v>4.13</v>
      </c>
      <c r="AD21" s="88">
        <f t="shared" si="8"/>
        <v>4.419999999999999</v>
      </c>
      <c r="AE21" s="88">
        <f t="shared" si="9"/>
        <v>3.289999999999999</v>
      </c>
      <c r="AF21" s="85"/>
      <c r="AG21" s="85"/>
    </row>
    <row r="22" spans="2:33" ht="16.5" thickBot="1">
      <c r="B22" s="26">
        <v>15</v>
      </c>
      <c r="C22" s="11">
        <f t="shared" si="1"/>
        <v>4.5</v>
      </c>
      <c r="D22" s="11">
        <f t="shared" si="2"/>
        <v>3.25</v>
      </c>
      <c r="E22" s="12">
        <f t="shared" si="3"/>
        <v>4.38</v>
      </c>
      <c r="G22" s="3" t="s">
        <v>37</v>
      </c>
      <c r="H22" s="5"/>
      <c r="M22" s="85"/>
      <c r="N22" s="13"/>
      <c r="O22" s="26">
        <v>15</v>
      </c>
      <c r="P22" s="11">
        <f t="shared" si="10"/>
        <v>67.5</v>
      </c>
      <c r="Q22" s="11">
        <f t="shared" si="4"/>
        <v>50.55</v>
      </c>
      <c r="R22" s="68">
        <f t="shared" si="11"/>
        <v>16.950000000000003</v>
      </c>
      <c r="Z22" s="5">
        <f t="shared" si="0"/>
        <v>15</v>
      </c>
      <c r="AA22" s="13">
        <f t="shared" si="5"/>
        <v>4.5</v>
      </c>
      <c r="AB22" s="13">
        <f t="shared" si="6"/>
        <v>3.25</v>
      </c>
      <c r="AC22" s="13">
        <f t="shared" si="7"/>
        <v>4.38</v>
      </c>
      <c r="AD22" s="88">
        <f t="shared" si="8"/>
        <v>4.419999999999999</v>
      </c>
      <c r="AE22" s="88">
        <f t="shared" si="9"/>
        <v>3.289999999999999</v>
      </c>
      <c r="AF22" s="85"/>
      <c r="AG22" s="85"/>
    </row>
    <row r="23" spans="2:33" ht="16.5" thickBot="1">
      <c r="B23" s="26">
        <v>16</v>
      </c>
      <c r="C23" s="11">
        <f t="shared" si="1"/>
        <v>4</v>
      </c>
      <c r="D23" s="11">
        <f t="shared" si="2"/>
        <v>3.5</v>
      </c>
      <c r="E23" s="12">
        <f t="shared" si="3"/>
        <v>4.63</v>
      </c>
      <c r="G23" s="30" t="s">
        <v>27</v>
      </c>
      <c r="H23" s="31">
        <f>(H20-H21)/(-I20+I21)</f>
        <v>15.160000000000002</v>
      </c>
      <c r="I23" s="32" t="s">
        <v>38</v>
      </c>
      <c r="J23" s="33"/>
      <c r="M23" s="85"/>
      <c r="N23" s="13"/>
      <c r="O23" s="26">
        <v>16</v>
      </c>
      <c r="P23" s="11">
        <f t="shared" si="10"/>
        <v>64</v>
      </c>
      <c r="Q23" s="11">
        <f t="shared" si="4"/>
        <v>45.92</v>
      </c>
      <c r="R23" s="68">
        <f t="shared" si="11"/>
        <v>18.08</v>
      </c>
      <c r="Z23" s="5">
        <f t="shared" si="0"/>
        <v>16</v>
      </c>
      <c r="AA23" s="13">
        <f t="shared" si="5"/>
        <v>4</v>
      </c>
      <c r="AB23" s="13">
        <f t="shared" si="6"/>
        <v>3.5</v>
      </c>
      <c r="AC23" s="13">
        <f t="shared" si="7"/>
        <v>4.63</v>
      </c>
      <c r="AD23" s="88">
        <f t="shared" si="8"/>
        <v>0</v>
      </c>
      <c r="AE23" s="88">
        <f t="shared" si="9"/>
        <v>0</v>
      </c>
      <c r="AF23" s="85"/>
      <c r="AG23" s="85"/>
    </row>
    <row r="24" spans="2:33" ht="16.5" thickBot="1">
      <c r="B24" s="26">
        <v>17</v>
      </c>
      <c r="C24" s="11">
        <f t="shared" si="1"/>
        <v>3.5</v>
      </c>
      <c r="D24" s="11">
        <f t="shared" si="2"/>
        <v>3.75</v>
      </c>
      <c r="E24" s="12">
        <f t="shared" si="3"/>
        <v>4.88</v>
      </c>
      <c r="G24" s="18" t="s">
        <v>29</v>
      </c>
      <c r="H24" s="34">
        <f>H20+H23*I20</f>
        <v>4.419999999999999</v>
      </c>
      <c r="K24" s="28" t="s">
        <v>30</v>
      </c>
      <c r="L24" s="29">
        <f>H24/(I20*H23)</f>
        <v>-0.5831134564643797</v>
      </c>
      <c r="M24" s="13"/>
      <c r="N24" s="13"/>
      <c r="O24" s="26">
        <v>17</v>
      </c>
      <c r="P24" s="11">
        <f t="shared" si="10"/>
        <v>59.5</v>
      </c>
      <c r="Q24" s="11">
        <f t="shared" si="4"/>
        <v>40.290000000000006</v>
      </c>
      <c r="R24" s="68">
        <f t="shared" si="11"/>
        <v>19.209999999999994</v>
      </c>
      <c r="Z24" s="5">
        <f t="shared" si="0"/>
        <v>17</v>
      </c>
      <c r="AA24" s="13">
        <f t="shared" si="5"/>
        <v>3.5</v>
      </c>
      <c r="AB24" s="13">
        <f t="shared" si="6"/>
        <v>3.75</v>
      </c>
      <c r="AC24" s="13">
        <f t="shared" si="7"/>
        <v>4.88</v>
      </c>
      <c r="AD24" s="88">
        <f t="shared" si="8"/>
        <v>0</v>
      </c>
      <c r="AE24" s="88">
        <f t="shared" si="9"/>
        <v>0</v>
      </c>
      <c r="AF24" s="85"/>
      <c r="AG24" s="85"/>
    </row>
    <row r="25" spans="2:33" ht="16.5" thickBot="1">
      <c r="B25" s="26">
        <v>18</v>
      </c>
      <c r="C25" s="11">
        <f t="shared" si="1"/>
        <v>3</v>
      </c>
      <c r="D25" s="11">
        <f t="shared" si="2"/>
        <v>4</v>
      </c>
      <c r="E25" s="12">
        <f t="shared" si="3"/>
        <v>5.13</v>
      </c>
      <c r="G25" s="21" t="s">
        <v>31</v>
      </c>
      <c r="H25" s="35">
        <f>H23*H24</f>
        <v>67.0072</v>
      </c>
      <c r="M25" s="56" t="s">
        <v>39</v>
      </c>
      <c r="N25" s="13"/>
      <c r="O25" s="26">
        <v>18</v>
      </c>
      <c r="P25" s="11">
        <f t="shared" si="10"/>
        <v>54</v>
      </c>
      <c r="Q25" s="11">
        <f t="shared" si="4"/>
        <v>33.660000000000004</v>
      </c>
      <c r="R25" s="68">
        <f t="shared" si="11"/>
        <v>20.339999999999996</v>
      </c>
      <c r="Z25" s="5">
        <f t="shared" si="0"/>
        <v>18</v>
      </c>
      <c r="AA25" s="13">
        <f t="shared" si="5"/>
        <v>3</v>
      </c>
      <c r="AB25" s="13">
        <f t="shared" si="6"/>
        <v>4</v>
      </c>
      <c r="AC25" s="13">
        <f t="shared" si="7"/>
        <v>5.13</v>
      </c>
      <c r="AD25" s="88">
        <f t="shared" si="8"/>
        <v>0</v>
      </c>
      <c r="AE25" s="88">
        <f t="shared" si="9"/>
        <v>0</v>
      </c>
      <c r="AF25" s="85"/>
      <c r="AG25" s="85"/>
    </row>
    <row r="26" spans="2:33" ht="16.5" thickBot="1">
      <c r="B26" s="26">
        <v>19</v>
      </c>
      <c r="C26" s="11">
        <f t="shared" si="1"/>
        <v>2.5</v>
      </c>
      <c r="D26" s="11">
        <f t="shared" si="2"/>
        <v>4.25</v>
      </c>
      <c r="E26" s="12">
        <f t="shared" si="3"/>
        <v>5.38</v>
      </c>
      <c r="G26" s="28" t="s">
        <v>40</v>
      </c>
      <c r="H26" s="42"/>
      <c r="I26" s="40"/>
      <c r="J26" s="32"/>
      <c r="K26" s="32"/>
      <c r="L26" s="36">
        <f>H23*I19</f>
        <v>17.1308</v>
      </c>
      <c r="M26" s="57" t="s">
        <v>41</v>
      </c>
      <c r="N26" s="15"/>
      <c r="O26" s="26">
        <v>19</v>
      </c>
      <c r="P26" s="11">
        <f t="shared" si="10"/>
        <v>47.5</v>
      </c>
      <c r="Q26" s="11">
        <f t="shared" si="4"/>
        <v>26.03</v>
      </c>
      <c r="R26" s="68">
        <f t="shared" si="11"/>
        <v>21.47</v>
      </c>
      <c r="Z26" s="5">
        <f t="shared" si="0"/>
        <v>19</v>
      </c>
      <c r="AA26" s="13">
        <f t="shared" si="5"/>
        <v>2.5</v>
      </c>
      <c r="AB26" s="13">
        <f t="shared" si="6"/>
        <v>4.25</v>
      </c>
      <c r="AC26" s="13">
        <f t="shared" si="7"/>
        <v>5.38</v>
      </c>
      <c r="AD26" s="88">
        <f t="shared" si="8"/>
        <v>0</v>
      </c>
      <c r="AE26" s="88">
        <f t="shared" si="9"/>
        <v>0</v>
      </c>
      <c r="AF26" s="85"/>
      <c r="AG26" s="85"/>
    </row>
    <row r="27" spans="2:33" ht="15.75">
      <c r="B27" s="26">
        <v>20</v>
      </c>
      <c r="C27" s="11">
        <f t="shared" si="1"/>
        <v>2</v>
      </c>
      <c r="D27" s="11">
        <f t="shared" si="2"/>
        <v>4.5</v>
      </c>
      <c r="E27" s="12">
        <f t="shared" si="3"/>
        <v>5.63</v>
      </c>
      <c r="G27" s="51"/>
      <c r="H27" s="46"/>
      <c r="I27" s="47"/>
      <c r="J27" s="47"/>
      <c r="K27" s="48" t="s">
        <v>42</v>
      </c>
      <c r="L27" s="55">
        <f>(H24-H13)*H23</f>
        <v>11.42053333333333</v>
      </c>
      <c r="M27" s="58">
        <f>L27/L26</f>
        <v>0.6666666666666664</v>
      </c>
      <c r="N27" s="15"/>
      <c r="O27" s="26">
        <v>20</v>
      </c>
      <c r="P27" s="11">
        <f t="shared" si="10"/>
        <v>40</v>
      </c>
      <c r="Q27" s="11">
        <f t="shared" si="4"/>
        <v>17.400000000000002</v>
      </c>
      <c r="R27" s="68">
        <f t="shared" si="11"/>
        <v>22.599999999999998</v>
      </c>
      <c r="Z27" s="5">
        <f t="shared" si="0"/>
        <v>20</v>
      </c>
      <c r="AA27" s="13">
        <f t="shared" si="5"/>
        <v>2</v>
      </c>
      <c r="AB27" s="13">
        <f t="shared" si="6"/>
        <v>4.5</v>
      </c>
      <c r="AC27" s="13">
        <f t="shared" si="7"/>
        <v>5.63</v>
      </c>
      <c r="AD27" s="88">
        <f t="shared" si="8"/>
        <v>0</v>
      </c>
      <c r="AE27" s="88">
        <f t="shared" si="9"/>
        <v>0</v>
      </c>
      <c r="AF27" s="85"/>
      <c r="AG27" s="85"/>
    </row>
    <row r="28" spans="2:33" ht="16.5" thickBot="1">
      <c r="B28" s="26">
        <v>21</v>
      </c>
      <c r="C28" s="11">
        <f t="shared" si="1"/>
        <v>1.5</v>
      </c>
      <c r="D28" s="11">
        <f t="shared" si="2"/>
        <v>4.75</v>
      </c>
      <c r="E28" s="12">
        <f t="shared" si="3"/>
        <v>5.88</v>
      </c>
      <c r="G28" s="52"/>
      <c r="H28" s="43"/>
      <c r="I28" s="22"/>
      <c r="J28" s="22"/>
      <c r="K28" s="44" t="s">
        <v>43</v>
      </c>
      <c r="L28" s="35">
        <f>(H13-(H24-I19))*H23</f>
        <v>5.710266666666671</v>
      </c>
      <c r="M28" s="59">
        <f>L28/L26</f>
        <v>0.3333333333333336</v>
      </c>
      <c r="N28" s="14"/>
      <c r="O28" s="26">
        <v>21</v>
      </c>
      <c r="P28" s="11">
        <f t="shared" si="10"/>
        <v>31.5</v>
      </c>
      <c r="Q28" s="11">
        <f t="shared" si="4"/>
        <v>7.770000000000003</v>
      </c>
      <c r="R28" s="68">
        <f t="shared" si="11"/>
        <v>23.729999999999997</v>
      </c>
      <c r="Z28" s="5">
        <f t="shared" si="0"/>
        <v>21</v>
      </c>
      <c r="AA28" s="13">
        <f t="shared" si="5"/>
        <v>1.5</v>
      </c>
      <c r="AB28" s="13">
        <f t="shared" si="6"/>
        <v>4.75</v>
      </c>
      <c r="AC28" s="13">
        <f t="shared" si="7"/>
        <v>5.88</v>
      </c>
      <c r="AD28" s="88">
        <f t="shared" si="8"/>
        <v>0</v>
      </c>
      <c r="AE28" s="88">
        <f t="shared" si="9"/>
        <v>0</v>
      </c>
      <c r="AF28" s="85"/>
      <c r="AG28" s="85"/>
    </row>
    <row r="29" spans="2:33" ht="16.5" thickBot="1">
      <c r="B29" s="26">
        <v>22</v>
      </c>
      <c r="C29" s="11">
        <f t="shared" si="1"/>
        <v>1</v>
      </c>
      <c r="D29" s="11">
        <f t="shared" si="2"/>
        <v>5</v>
      </c>
      <c r="E29" s="12">
        <f t="shared" si="3"/>
        <v>6.13</v>
      </c>
      <c r="G29" s="28"/>
      <c r="H29" s="42"/>
      <c r="I29" s="32"/>
      <c r="J29" s="32"/>
      <c r="K29" s="45" t="s">
        <v>44</v>
      </c>
      <c r="L29" s="36">
        <f>(H12-H23)*I19*0.5</f>
        <v>0.8512666666666662</v>
      </c>
      <c r="M29" s="14"/>
      <c r="O29" s="26">
        <v>22</v>
      </c>
      <c r="P29" s="11">
        <f t="shared" si="10"/>
        <v>22</v>
      </c>
      <c r="Q29" s="11">
        <f t="shared" si="4"/>
        <v>0</v>
      </c>
      <c r="R29" s="68">
        <f t="shared" si="11"/>
        <v>0</v>
      </c>
      <c r="Z29" s="5">
        <f t="shared" si="0"/>
        <v>22</v>
      </c>
      <c r="AA29" s="13">
        <f t="shared" si="5"/>
        <v>1</v>
      </c>
      <c r="AB29" s="13">
        <f t="shared" si="6"/>
        <v>5</v>
      </c>
      <c r="AC29" s="13">
        <f t="shared" si="7"/>
        <v>6.13</v>
      </c>
      <c r="AD29" s="88">
        <f t="shared" si="8"/>
        <v>0</v>
      </c>
      <c r="AE29" s="88">
        <f t="shared" si="9"/>
        <v>0</v>
      </c>
      <c r="AF29" s="85"/>
      <c r="AG29" s="85"/>
    </row>
    <row r="30" spans="2:33" ht="16.5" thickBot="1">
      <c r="B30" s="26">
        <v>23</v>
      </c>
      <c r="C30" s="11">
        <f t="shared" si="1"/>
        <v>0.5</v>
      </c>
      <c r="D30" s="11">
        <f t="shared" si="2"/>
        <v>5.25</v>
      </c>
      <c r="E30" s="12">
        <f t="shared" si="3"/>
        <v>6.38</v>
      </c>
      <c r="G30" s="28" t="s">
        <v>45</v>
      </c>
      <c r="H30" s="39"/>
      <c r="I30" s="40"/>
      <c r="J30" s="40"/>
      <c r="K30" s="40"/>
      <c r="L30" s="41">
        <f>L29/L26</f>
        <v>0.04969217238346523</v>
      </c>
      <c r="O30" s="26">
        <v>23</v>
      </c>
      <c r="P30" s="11">
        <f t="shared" si="10"/>
        <v>11.5</v>
      </c>
      <c r="Q30" s="11">
        <f t="shared" si="4"/>
        <v>0</v>
      </c>
      <c r="R30" s="68">
        <f t="shared" si="11"/>
        <v>0</v>
      </c>
      <c r="Z30" s="5">
        <f t="shared" si="0"/>
        <v>23</v>
      </c>
      <c r="AA30" s="13">
        <f t="shared" si="5"/>
        <v>0.5</v>
      </c>
      <c r="AB30" s="13">
        <f t="shared" si="6"/>
        <v>5.25</v>
      </c>
      <c r="AC30" s="13">
        <f t="shared" si="7"/>
        <v>6.38</v>
      </c>
      <c r="AD30" s="88">
        <f t="shared" si="8"/>
        <v>0</v>
      </c>
      <c r="AE30" s="88">
        <f t="shared" si="9"/>
        <v>0</v>
      </c>
      <c r="AF30" s="85"/>
      <c r="AG30" s="85"/>
    </row>
    <row r="31" spans="2:33" ht="16.5" thickBot="1">
      <c r="B31" s="26">
        <v>24</v>
      </c>
      <c r="C31" s="11">
        <f t="shared" si="1"/>
        <v>0</v>
      </c>
      <c r="D31" s="11">
        <f t="shared" si="2"/>
        <v>5.5</v>
      </c>
      <c r="E31" s="12">
        <f t="shared" si="3"/>
        <v>6.63</v>
      </c>
      <c r="F31" s="85"/>
      <c r="G31" s="85"/>
      <c r="H31" s="85"/>
      <c r="I31" s="85"/>
      <c r="J31" s="85"/>
      <c r="K31" s="85"/>
      <c r="L31" s="85"/>
      <c r="M31" s="85"/>
      <c r="N31" s="85"/>
      <c r="O31" s="26">
        <v>24</v>
      </c>
      <c r="P31" s="11">
        <f t="shared" si="10"/>
        <v>0</v>
      </c>
      <c r="Q31" s="11">
        <f t="shared" si="4"/>
        <v>0</v>
      </c>
      <c r="R31" s="68">
        <f t="shared" si="11"/>
        <v>0</v>
      </c>
      <c r="Z31" s="5">
        <f t="shared" si="0"/>
        <v>24</v>
      </c>
      <c r="AA31" s="13">
        <f t="shared" si="5"/>
        <v>0</v>
      </c>
      <c r="AB31" s="13">
        <f t="shared" si="6"/>
        <v>5.5</v>
      </c>
      <c r="AC31" s="13">
        <f t="shared" si="7"/>
        <v>6.63</v>
      </c>
      <c r="AD31" s="88">
        <f t="shared" si="8"/>
        <v>0</v>
      </c>
      <c r="AE31" s="88">
        <f t="shared" si="9"/>
        <v>0</v>
      </c>
      <c r="AF31" s="85"/>
      <c r="AG31" s="85"/>
    </row>
    <row r="32" spans="2:33" ht="16.5" thickBot="1">
      <c r="B32" s="26">
        <v>25</v>
      </c>
      <c r="C32" s="11">
        <f t="shared" si="1"/>
        <v>-0.5</v>
      </c>
      <c r="D32" s="11">
        <f t="shared" si="2"/>
        <v>5.75</v>
      </c>
      <c r="E32" s="77">
        <f t="shared" si="3"/>
        <v>6.88</v>
      </c>
      <c r="F32" s="71"/>
      <c r="G32" s="79" t="s">
        <v>46</v>
      </c>
      <c r="H32" s="80">
        <f>L7</f>
        <v>1.13</v>
      </c>
      <c r="I32" s="72" t="s">
        <v>47</v>
      </c>
      <c r="J32" s="72"/>
      <c r="K32" s="72"/>
      <c r="L32" s="72"/>
      <c r="M32" s="72"/>
      <c r="N32" s="76"/>
      <c r="O32" s="78">
        <v>25</v>
      </c>
      <c r="P32" s="11">
        <f t="shared" si="10"/>
        <v>0</v>
      </c>
      <c r="Q32" s="11">
        <f t="shared" si="4"/>
        <v>0</v>
      </c>
      <c r="R32" s="68">
        <f t="shared" si="11"/>
        <v>0</v>
      </c>
      <c r="Z32" s="5">
        <f t="shared" si="0"/>
        <v>25</v>
      </c>
      <c r="AA32" s="13">
        <f t="shared" si="5"/>
        <v>0</v>
      </c>
      <c r="AB32" s="13">
        <f t="shared" si="6"/>
        <v>5.75</v>
      </c>
      <c r="AC32" s="13">
        <f t="shared" si="7"/>
        <v>6.88</v>
      </c>
      <c r="AD32" s="88">
        <f t="shared" si="8"/>
        <v>0</v>
      </c>
      <c r="AE32" s="88">
        <f t="shared" si="9"/>
        <v>0</v>
      </c>
      <c r="AF32" s="85"/>
      <c r="AG32" s="85"/>
    </row>
    <row r="33" spans="2:33" ht="15.75">
      <c r="B33" s="26">
        <v>26</v>
      </c>
      <c r="C33" s="11">
        <f t="shared" si="1"/>
        <v>-1</v>
      </c>
      <c r="D33" s="11">
        <f t="shared" si="2"/>
        <v>6</v>
      </c>
      <c r="E33" s="12">
        <f t="shared" si="3"/>
        <v>7.13</v>
      </c>
      <c r="O33" s="26">
        <v>26</v>
      </c>
      <c r="P33" s="11">
        <f t="shared" si="10"/>
        <v>0</v>
      </c>
      <c r="Q33" s="11">
        <f t="shared" si="4"/>
        <v>0</v>
      </c>
      <c r="R33" s="68">
        <f t="shared" si="11"/>
        <v>0</v>
      </c>
      <c r="Z33" s="5">
        <f t="shared" si="0"/>
        <v>26</v>
      </c>
      <c r="AA33" s="13">
        <f t="shared" si="5"/>
        <v>0</v>
      </c>
      <c r="AB33" s="13">
        <f t="shared" si="6"/>
        <v>6</v>
      </c>
      <c r="AC33" s="13">
        <f t="shared" si="7"/>
        <v>7.13</v>
      </c>
      <c r="AD33" s="88">
        <f t="shared" si="8"/>
        <v>0</v>
      </c>
      <c r="AE33" s="88">
        <f t="shared" si="9"/>
        <v>0</v>
      </c>
      <c r="AF33" s="85"/>
      <c r="AG33" s="85"/>
    </row>
    <row r="34" spans="2:33" ht="15.75">
      <c r="B34" s="26">
        <v>27</v>
      </c>
      <c r="C34" s="11">
        <f t="shared" si="1"/>
        <v>-1.5</v>
      </c>
      <c r="D34" s="11">
        <f t="shared" si="2"/>
        <v>6.25</v>
      </c>
      <c r="E34" s="12">
        <f t="shared" si="3"/>
        <v>7.38</v>
      </c>
      <c r="O34" s="26">
        <v>27</v>
      </c>
      <c r="P34" s="11">
        <f t="shared" si="10"/>
        <v>0</v>
      </c>
      <c r="Q34" s="11">
        <f t="shared" si="4"/>
        <v>0</v>
      </c>
      <c r="R34" s="68">
        <f t="shared" si="11"/>
        <v>0</v>
      </c>
      <c r="Z34" s="5">
        <f t="shared" si="0"/>
        <v>27</v>
      </c>
      <c r="AA34" s="13">
        <f t="shared" si="5"/>
        <v>0</v>
      </c>
      <c r="AB34" s="13">
        <f t="shared" si="6"/>
        <v>6.25</v>
      </c>
      <c r="AC34" s="13">
        <f t="shared" si="7"/>
        <v>7.38</v>
      </c>
      <c r="AD34" s="88">
        <f t="shared" si="8"/>
        <v>0</v>
      </c>
      <c r="AE34" s="88">
        <f t="shared" si="9"/>
        <v>0</v>
      </c>
      <c r="AF34" s="85"/>
      <c r="AG34" s="85"/>
    </row>
    <row r="35" spans="2:33" ht="15.75">
      <c r="B35" s="26">
        <v>28</v>
      </c>
      <c r="C35" s="11">
        <f t="shared" si="1"/>
        <v>-2</v>
      </c>
      <c r="D35" s="11">
        <f t="shared" si="2"/>
        <v>6.5</v>
      </c>
      <c r="E35" s="12">
        <f t="shared" si="3"/>
        <v>7.63</v>
      </c>
      <c r="O35" s="26">
        <v>28</v>
      </c>
      <c r="P35" s="11">
        <f t="shared" si="10"/>
        <v>0</v>
      </c>
      <c r="Q35" s="11">
        <f t="shared" si="4"/>
        <v>0</v>
      </c>
      <c r="R35" s="68">
        <f t="shared" si="11"/>
        <v>0</v>
      </c>
      <c r="Z35" s="5">
        <f t="shared" si="0"/>
        <v>28</v>
      </c>
      <c r="AA35" s="13">
        <f t="shared" si="5"/>
        <v>0</v>
      </c>
      <c r="AB35" s="13">
        <f t="shared" si="6"/>
        <v>6.5</v>
      </c>
      <c r="AC35" s="13">
        <f t="shared" si="7"/>
        <v>7.63</v>
      </c>
      <c r="AD35" s="88">
        <f t="shared" si="8"/>
        <v>0</v>
      </c>
      <c r="AE35" s="88">
        <f t="shared" si="9"/>
        <v>0</v>
      </c>
      <c r="AF35" s="85"/>
      <c r="AG35" s="85"/>
    </row>
    <row r="36" spans="2:33" ht="15.75">
      <c r="B36" s="26">
        <v>29</v>
      </c>
      <c r="C36" s="11">
        <f t="shared" si="1"/>
        <v>-2.5</v>
      </c>
      <c r="D36" s="11">
        <f t="shared" si="2"/>
        <v>6.75</v>
      </c>
      <c r="E36" s="12">
        <f t="shared" si="3"/>
        <v>7.88</v>
      </c>
      <c r="O36" s="26">
        <v>29</v>
      </c>
      <c r="P36" s="11">
        <f t="shared" si="10"/>
        <v>0</v>
      </c>
      <c r="Q36" s="11">
        <f t="shared" si="4"/>
        <v>0</v>
      </c>
      <c r="R36" s="68">
        <f t="shared" si="11"/>
        <v>0</v>
      </c>
      <c r="Z36" s="5">
        <f t="shared" si="0"/>
        <v>29</v>
      </c>
      <c r="AA36" s="13">
        <f t="shared" si="5"/>
        <v>0</v>
      </c>
      <c r="AB36" s="13">
        <f t="shared" si="6"/>
        <v>6.75</v>
      </c>
      <c r="AC36" s="13">
        <f t="shared" si="7"/>
        <v>7.88</v>
      </c>
      <c r="AD36" s="88">
        <f t="shared" si="8"/>
        <v>0</v>
      </c>
      <c r="AE36" s="88">
        <f t="shared" si="9"/>
        <v>0</v>
      </c>
      <c r="AF36" s="85"/>
      <c r="AG36" s="85"/>
    </row>
    <row r="37" spans="2:33" ht="16.5" thickBot="1">
      <c r="B37" s="27">
        <v>30</v>
      </c>
      <c r="C37" s="16">
        <f t="shared" si="1"/>
        <v>-3</v>
      </c>
      <c r="D37" s="16">
        <f t="shared" si="2"/>
        <v>7</v>
      </c>
      <c r="E37" s="17">
        <f t="shared" si="3"/>
        <v>8.129999999999999</v>
      </c>
      <c r="O37" s="27">
        <v>30</v>
      </c>
      <c r="P37" s="16">
        <f t="shared" si="10"/>
        <v>0</v>
      </c>
      <c r="Q37" s="16">
        <f t="shared" si="4"/>
        <v>0</v>
      </c>
      <c r="R37" s="67">
        <f t="shared" si="11"/>
        <v>0</v>
      </c>
      <c r="Z37" s="5">
        <f t="shared" si="0"/>
        <v>30</v>
      </c>
      <c r="AA37" s="13">
        <f t="shared" si="5"/>
        <v>0</v>
      </c>
      <c r="AB37" s="13">
        <f t="shared" si="6"/>
        <v>7</v>
      </c>
      <c r="AC37" s="13">
        <f t="shared" si="7"/>
        <v>8.129999999999999</v>
      </c>
      <c r="AD37" s="88">
        <f t="shared" si="8"/>
        <v>0</v>
      </c>
      <c r="AE37" s="88">
        <f t="shared" si="9"/>
        <v>0</v>
      </c>
      <c r="AF37" s="85"/>
      <c r="AG37" s="85"/>
    </row>
    <row r="38" spans="29:31" ht="12.75">
      <c r="AC38" s="13"/>
      <c r="AD38" s="13"/>
      <c r="AE38" s="13"/>
    </row>
    <row r="39" spans="29:31" ht="12.75">
      <c r="AC39" s="13"/>
      <c r="AD39" s="13"/>
      <c r="AE39" s="13"/>
    </row>
    <row r="40" spans="29:31" ht="12.75">
      <c r="AC40" s="13"/>
      <c r="AD40" s="13"/>
      <c r="AE40" s="13"/>
    </row>
    <row r="41" spans="29:31" ht="12.75">
      <c r="AC41" s="13"/>
      <c r="AD41" s="13"/>
      <c r="AE41" s="13"/>
    </row>
    <row r="42" spans="29:31" ht="12.75">
      <c r="AC42" s="13"/>
      <c r="AD42" s="13"/>
      <c r="AE42" s="13"/>
    </row>
    <row r="54" ht="13.5" thickBot="1"/>
    <row r="55" spans="1:25" ht="13.5" thickBot="1">
      <c r="A55" s="53"/>
      <c r="B55" s="40"/>
      <c r="C55" s="40"/>
      <c r="D55" s="40"/>
      <c r="E55" s="71"/>
      <c r="F55" s="72"/>
      <c r="G55" s="72"/>
      <c r="H55" s="73"/>
      <c r="I55" s="74" t="s">
        <v>48</v>
      </c>
      <c r="J55" s="72"/>
      <c r="K55" s="72"/>
      <c r="L55" s="75"/>
      <c r="M55" s="72"/>
      <c r="N55" s="72"/>
      <c r="O55" s="76"/>
      <c r="P55" s="40"/>
      <c r="Q55" s="40"/>
      <c r="R55" s="40"/>
      <c r="S55" s="54"/>
      <c r="T55" s="14"/>
      <c r="U55" s="14"/>
      <c r="V55" s="14"/>
      <c r="W55" s="14"/>
      <c r="X55" s="14"/>
      <c r="Y55" s="14"/>
    </row>
    <row r="56" spans="11:16" ht="16.5" thickBot="1">
      <c r="K56" s="3" t="s">
        <v>7</v>
      </c>
      <c r="L56" s="6"/>
      <c r="P56" s="7" t="s">
        <v>15</v>
      </c>
    </row>
    <row r="57" spans="11:16" ht="16.5" thickBot="1">
      <c r="K57" s="18" t="s">
        <v>13</v>
      </c>
      <c r="L57" s="37">
        <v>25</v>
      </c>
      <c r="M57" s="37">
        <v>-2</v>
      </c>
      <c r="N57" s="24" t="s">
        <v>14</v>
      </c>
      <c r="P57" s="90">
        <v>0</v>
      </c>
    </row>
    <row r="58" spans="11:16" ht="16.5" thickBot="1">
      <c r="K58" s="21" t="s">
        <v>20</v>
      </c>
      <c r="L58" s="38">
        <v>2</v>
      </c>
      <c r="M58" s="38">
        <v>4</v>
      </c>
      <c r="N58" s="25" t="s">
        <v>14</v>
      </c>
      <c r="P58" s="13"/>
    </row>
    <row r="59" spans="11:17" ht="16.5" thickBot="1">
      <c r="K59" s="3" t="s">
        <v>21</v>
      </c>
      <c r="L59" s="6"/>
      <c r="P59" s="13"/>
      <c r="Q59" s="13"/>
    </row>
    <row r="60" spans="11:17" ht="15.75">
      <c r="K60" s="18" t="s">
        <v>22</v>
      </c>
      <c r="L60" s="37">
        <f>L57/(-M57)</f>
        <v>12.5</v>
      </c>
      <c r="M60" s="37">
        <f>1/M57</f>
        <v>-0.5</v>
      </c>
      <c r="N60" s="19" t="s">
        <v>23</v>
      </c>
      <c r="O60" s="20"/>
      <c r="P60" s="13"/>
      <c r="Q60" s="13"/>
    </row>
    <row r="61" spans="11:17" ht="16.5" thickBot="1">
      <c r="K61" s="21" t="s">
        <v>24</v>
      </c>
      <c r="L61" s="38">
        <f>-L58/M58</f>
        <v>-0.5</v>
      </c>
      <c r="M61" s="38">
        <f>1/M58</f>
        <v>0.25</v>
      </c>
      <c r="N61" s="22" t="s">
        <v>25</v>
      </c>
      <c r="O61" s="23"/>
      <c r="P61" s="13"/>
      <c r="Q61" s="13"/>
    </row>
    <row r="62" spans="11:17" ht="16.5" thickBot="1">
      <c r="K62" s="3" t="s">
        <v>26</v>
      </c>
      <c r="L62" s="6"/>
      <c r="P62" s="13"/>
      <c r="Q62" s="13"/>
    </row>
    <row r="63" spans="11:17" ht="16.5" thickBot="1">
      <c r="K63" s="30" t="s">
        <v>27</v>
      </c>
      <c r="L63" s="31">
        <f>(L60-L61)/(-M60+M61)</f>
        <v>17.333333333333332</v>
      </c>
      <c r="M63" s="32" t="s">
        <v>28</v>
      </c>
      <c r="N63" s="33"/>
      <c r="P63" s="13"/>
      <c r="Q63" s="13"/>
    </row>
    <row r="64" spans="11:17" ht="16.5" thickBot="1">
      <c r="K64" s="18" t="s">
        <v>29</v>
      </c>
      <c r="L64" s="34">
        <f>L60+L63*M60</f>
        <v>3.833333333333334</v>
      </c>
      <c r="N64" s="85"/>
      <c r="O64" s="28" t="s">
        <v>30</v>
      </c>
      <c r="P64" s="29">
        <f>L64/(M60*L63)</f>
        <v>-0.4423076923076924</v>
      </c>
      <c r="Q64" s="13"/>
    </row>
    <row r="65" spans="11:17" ht="16.5" thickBot="1">
      <c r="K65" s="21" t="s">
        <v>31</v>
      </c>
      <c r="L65" s="35">
        <f>L63*L64</f>
        <v>66.44444444444446</v>
      </c>
      <c r="P65" s="13"/>
      <c r="Q65" s="13"/>
    </row>
    <row r="66" spans="11:17" ht="16.5" thickBot="1">
      <c r="K66" s="3" t="s">
        <v>32</v>
      </c>
      <c r="L66" s="6"/>
      <c r="Q66" s="13"/>
    </row>
    <row r="67" spans="11:17" ht="16.5" thickBot="1">
      <c r="K67" s="28" t="s">
        <v>33</v>
      </c>
      <c r="L67" s="36">
        <f>(L60-L61)*(L63)*(0.5)</f>
        <v>112.66666666666666</v>
      </c>
      <c r="P67" s="13"/>
      <c r="Q67" s="13"/>
    </row>
    <row r="68" spans="12:17" ht="13.5" thickBot="1">
      <c r="L68" s="5"/>
      <c r="P68" s="13"/>
      <c r="Q68" s="13"/>
    </row>
    <row r="69" spans="11:17" ht="16.5" thickBot="1">
      <c r="K69" s="28" t="s">
        <v>34</v>
      </c>
      <c r="L69" s="39"/>
      <c r="M69" s="40"/>
      <c r="N69" s="40"/>
      <c r="O69" s="40"/>
      <c r="P69" s="49"/>
      <c r="Q69" s="50"/>
    </row>
    <row r="70" spans="11:17" ht="16.5" thickBot="1">
      <c r="K70" s="89"/>
      <c r="L70" s="45" t="s">
        <v>35</v>
      </c>
      <c r="M70" s="36">
        <f>P57</f>
        <v>0</v>
      </c>
      <c r="P70" s="13"/>
      <c r="Q70" s="13"/>
    </row>
    <row r="71" spans="11:17" ht="15.75">
      <c r="K71" s="18" t="s">
        <v>22</v>
      </c>
      <c r="L71" s="37">
        <f>L60</f>
        <v>12.5</v>
      </c>
      <c r="M71" s="37">
        <f>M60</f>
        <v>-0.5</v>
      </c>
      <c r="N71" s="19" t="str">
        <f>N60</f>
        <v>Qd</v>
      </c>
      <c r="O71" s="20"/>
      <c r="P71" s="13"/>
      <c r="Q71" s="13"/>
    </row>
    <row r="72" spans="11:17" ht="16.5" thickBot="1">
      <c r="K72" s="21" t="s">
        <v>24</v>
      </c>
      <c r="L72" s="38">
        <f>L61+M70</f>
        <v>-0.5</v>
      </c>
      <c r="M72" s="38">
        <f>M61</f>
        <v>0.25</v>
      </c>
      <c r="N72" s="22" t="str">
        <f>N61</f>
        <v>Qs</v>
      </c>
      <c r="O72" s="23"/>
      <c r="P72" s="13"/>
      <c r="Q72" s="13"/>
    </row>
    <row r="73" spans="11:17" ht="16.5" thickBot="1">
      <c r="K73" s="3" t="s">
        <v>37</v>
      </c>
      <c r="L73" s="5"/>
      <c r="P73" s="13"/>
      <c r="Q73" s="13"/>
    </row>
    <row r="74" spans="11:17" ht="16.5" thickBot="1">
      <c r="K74" s="30" t="s">
        <v>27</v>
      </c>
      <c r="L74" s="31">
        <f>(L71-L72)/(-M71+M72)</f>
        <v>17.333333333333332</v>
      </c>
      <c r="M74" s="32" t="s">
        <v>38</v>
      </c>
      <c r="N74" s="33"/>
      <c r="P74" s="13"/>
      <c r="Q74" s="13"/>
    </row>
    <row r="75" spans="11:17" ht="16.5" thickBot="1">
      <c r="K75" s="18" t="s">
        <v>29</v>
      </c>
      <c r="L75" s="34">
        <f>L71+L74*M71</f>
        <v>3.833333333333334</v>
      </c>
      <c r="O75" s="28" t="s">
        <v>30</v>
      </c>
      <c r="P75" s="29">
        <f>L75/(M71*L74)</f>
        <v>-0.4423076923076924</v>
      </c>
      <c r="Q75" s="13"/>
    </row>
    <row r="76" spans="11:18" ht="16.5" thickBot="1">
      <c r="K76" s="21" t="s">
        <v>31</v>
      </c>
      <c r="L76" s="35">
        <f>L74*L75</f>
        <v>66.44444444444446</v>
      </c>
      <c r="P76" s="13"/>
      <c r="Q76" s="91" t="s">
        <v>49</v>
      </c>
      <c r="R76" s="24"/>
    </row>
    <row r="77" spans="11:18" ht="16.5" thickBot="1">
      <c r="K77" s="28" t="s">
        <v>40</v>
      </c>
      <c r="L77" s="42"/>
      <c r="M77" s="40"/>
      <c r="N77" s="32"/>
      <c r="O77" s="32"/>
      <c r="P77" s="36">
        <f>L74*M70</f>
        <v>0</v>
      </c>
      <c r="Q77" s="92" t="s">
        <v>50</v>
      </c>
      <c r="R77" s="25"/>
    </row>
    <row r="78" spans="10:17" ht="15.75">
      <c r="J78" s="14"/>
      <c r="K78" s="51"/>
      <c r="L78" s="46"/>
      <c r="M78" s="47"/>
      <c r="N78" s="47"/>
      <c r="O78" s="48" t="s">
        <v>42</v>
      </c>
      <c r="P78" s="55">
        <f>(L75-L64)*L74</f>
        <v>0</v>
      </c>
      <c r="Q78" s="93" t="e">
        <f>P78/P77</f>
        <v>#DIV/0!</v>
      </c>
    </row>
    <row r="79" spans="10:17" ht="16.5" thickBot="1">
      <c r="J79" s="14"/>
      <c r="K79" s="52"/>
      <c r="L79" s="43"/>
      <c r="M79" s="22"/>
      <c r="N79" s="22"/>
      <c r="O79" s="44" t="s">
        <v>43</v>
      </c>
      <c r="P79" s="35">
        <f>(L64-(L75-M70))*L74</f>
        <v>0</v>
      </c>
      <c r="Q79" s="94" t="e">
        <f>P79/P77</f>
        <v>#DIV/0!</v>
      </c>
    </row>
    <row r="80" spans="11:17" ht="13.5" thickBot="1">
      <c r="K80" s="28"/>
      <c r="L80" s="42"/>
      <c r="M80" s="32"/>
      <c r="N80" s="32"/>
      <c r="O80" s="45" t="s">
        <v>44</v>
      </c>
      <c r="P80" s="36">
        <f>(L63-L74)*M70*0.5</f>
        <v>0</v>
      </c>
      <c r="Q80" s="14"/>
    </row>
    <row r="81" spans="11:16" ht="13.5" thickBot="1">
      <c r="K81" s="95" t="s">
        <v>45</v>
      </c>
      <c r="L81" s="96"/>
      <c r="M81" s="97"/>
      <c r="N81" s="97"/>
      <c r="O81" s="97"/>
      <c r="P81" s="41" t="e">
        <f>P80/P77</f>
        <v>#DIV/0!</v>
      </c>
    </row>
    <row r="82" spans="1:25" ht="13.5" thickBot="1">
      <c r="A82" s="53"/>
      <c r="B82" s="40"/>
      <c r="C82" s="40"/>
      <c r="D82" s="40"/>
      <c r="E82" s="71"/>
      <c r="F82" s="72"/>
      <c r="G82" s="72"/>
      <c r="H82" s="73"/>
      <c r="I82" s="74" t="s">
        <v>51</v>
      </c>
      <c r="J82" s="72"/>
      <c r="K82" s="72"/>
      <c r="L82" s="72"/>
      <c r="M82" s="72"/>
      <c r="N82" s="72"/>
      <c r="O82" s="76"/>
      <c r="P82" s="40"/>
      <c r="Q82" s="40"/>
      <c r="R82" s="40"/>
      <c r="S82" s="54"/>
      <c r="T82" s="14"/>
      <c r="U82" s="14"/>
      <c r="V82" s="14"/>
      <c r="W82" s="14"/>
      <c r="X82" s="14"/>
      <c r="Y82" s="14"/>
    </row>
    <row r="83" spans="11:16" ht="16.5" thickBot="1">
      <c r="K83" s="3" t="s">
        <v>7</v>
      </c>
      <c r="L83" s="6"/>
      <c r="P83" s="7" t="s">
        <v>15</v>
      </c>
    </row>
    <row r="84" spans="11:16" ht="16.5" thickBot="1">
      <c r="K84" s="18" t="s">
        <v>13</v>
      </c>
      <c r="L84" s="37">
        <v>25</v>
      </c>
      <c r="M84" s="37">
        <v>-2</v>
      </c>
      <c r="N84" s="24" t="s">
        <v>14</v>
      </c>
      <c r="P84" s="90">
        <v>1</v>
      </c>
    </row>
    <row r="85" spans="11:16" ht="16.5" thickBot="1">
      <c r="K85" s="21" t="s">
        <v>20</v>
      </c>
      <c r="L85" s="38">
        <v>2</v>
      </c>
      <c r="M85" s="38">
        <v>4</v>
      </c>
      <c r="N85" s="25" t="s">
        <v>14</v>
      </c>
      <c r="P85" s="13"/>
    </row>
    <row r="86" spans="11:17" ht="16.5" thickBot="1">
      <c r="K86" s="3" t="s">
        <v>21</v>
      </c>
      <c r="L86" s="6"/>
      <c r="P86" s="13"/>
      <c r="Q86" s="13"/>
    </row>
    <row r="87" spans="11:17" ht="15.75">
      <c r="K87" s="18" t="s">
        <v>22</v>
      </c>
      <c r="L87" s="37">
        <f>L84/(-M84)</f>
        <v>12.5</v>
      </c>
      <c r="M87" s="37">
        <f>1/M84</f>
        <v>-0.5</v>
      </c>
      <c r="N87" s="19" t="s">
        <v>23</v>
      </c>
      <c r="O87" s="20"/>
      <c r="P87" s="13"/>
      <c r="Q87" s="13"/>
    </row>
    <row r="88" spans="11:17" ht="16.5" thickBot="1">
      <c r="K88" s="21" t="s">
        <v>24</v>
      </c>
      <c r="L88" s="38">
        <f>-L85/M85</f>
        <v>-0.5</v>
      </c>
      <c r="M88" s="38">
        <f>1/M85</f>
        <v>0.25</v>
      </c>
      <c r="N88" s="22" t="s">
        <v>25</v>
      </c>
      <c r="O88" s="23"/>
      <c r="P88" s="13"/>
      <c r="Q88" s="13"/>
    </row>
    <row r="89" spans="11:17" ht="16.5" thickBot="1">
      <c r="K89" s="3" t="s">
        <v>26</v>
      </c>
      <c r="L89" s="6"/>
      <c r="P89" s="13"/>
      <c r="Q89" s="13"/>
    </row>
    <row r="90" spans="11:17" ht="16.5" thickBot="1">
      <c r="K90" s="30" t="s">
        <v>27</v>
      </c>
      <c r="L90" s="31">
        <f>(L87-L88)/(-M87+M88)</f>
        <v>17.333333333333332</v>
      </c>
      <c r="M90" s="32" t="s">
        <v>28</v>
      </c>
      <c r="N90" s="33"/>
      <c r="P90" s="13"/>
      <c r="Q90" s="13"/>
    </row>
    <row r="91" spans="11:17" ht="16.5" thickBot="1">
      <c r="K91" s="18" t="s">
        <v>29</v>
      </c>
      <c r="L91" s="34">
        <f>L87+L90*M87</f>
        <v>3.833333333333334</v>
      </c>
      <c r="N91" s="28" t="s">
        <v>30</v>
      </c>
      <c r="O91" s="40"/>
      <c r="P91" s="29">
        <f>L91/(M87*L90)</f>
        <v>-0.4423076923076924</v>
      </c>
      <c r="Q91" s="13"/>
    </row>
    <row r="92" spans="11:17" ht="16.5" thickBot="1">
      <c r="K92" s="21" t="s">
        <v>31</v>
      </c>
      <c r="L92" s="35">
        <f>L90*L91</f>
        <v>66.44444444444446</v>
      </c>
      <c r="P92" s="13"/>
      <c r="Q92" s="13"/>
    </row>
    <row r="93" spans="11:17" ht="16.5" thickBot="1">
      <c r="K93" s="3" t="s">
        <v>32</v>
      </c>
      <c r="L93" s="6"/>
      <c r="Q93" s="13"/>
    </row>
    <row r="94" spans="11:17" ht="16.5" thickBot="1">
      <c r="K94" s="28" t="s">
        <v>33</v>
      </c>
      <c r="L94" s="36">
        <f>(L87-L88)*(L90)*(0.5)</f>
        <v>112.66666666666666</v>
      </c>
      <c r="P94" s="13"/>
      <c r="Q94" s="13"/>
    </row>
    <row r="95" spans="12:17" ht="13.5" thickBot="1">
      <c r="L95" s="5"/>
      <c r="P95" s="13"/>
      <c r="Q95" s="13"/>
    </row>
    <row r="96" spans="11:17" ht="16.5" thickBot="1">
      <c r="K96" s="28" t="s">
        <v>34</v>
      </c>
      <c r="L96" s="39"/>
      <c r="M96" s="40"/>
      <c r="N96" s="40"/>
      <c r="O96" s="40"/>
      <c r="P96" s="49"/>
      <c r="Q96" s="50"/>
    </row>
    <row r="97" spans="11:17" ht="16.5" thickBot="1">
      <c r="K97" s="89"/>
      <c r="L97" s="45" t="s">
        <v>35</v>
      </c>
      <c r="M97" s="36">
        <f>P84</f>
        <v>1</v>
      </c>
      <c r="P97" s="13"/>
      <c r="Q97" s="13"/>
    </row>
    <row r="98" spans="11:17" ht="15.75">
      <c r="K98" s="18" t="s">
        <v>22</v>
      </c>
      <c r="L98" s="37">
        <f>L87</f>
        <v>12.5</v>
      </c>
      <c r="M98" s="37">
        <f>M87</f>
        <v>-0.5</v>
      </c>
      <c r="N98" s="19" t="str">
        <f>N87</f>
        <v>Qd</v>
      </c>
      <c r="O98" s="20"/>
      <c r="P98" s="13"/>
      <c r="Q98" s="13"/>
    </row>
    <row r="99" spans="11:17" ht="16.5" thickBot="1">
      <c r="K99" s="21" t="s">
        <v>24</v>
      </c>
      <c r="L99" s="38">
        <f>L88+M97</f>
        <v>0.5</v>
      </c>
      <c r="M99" s="38">
        <f>M88</f>
        <v>0.25</v>
      </c>
      <c r="N99" s="22" t="str">
        <f>N88</f>
        <v>Qs</v>
      </c>
      <c r="O99" s="23"/>
      <c r="P99" s="13"/>
      <c r="Q99" s="13"/>
    </row>
    <row r="100" spans="11:17" ht="16.5" thickBot="1">
      <c r="K100" s="3" t="s">
        <v>37</v>
      </c>
      <c r="L100" s="5"/>
      <c r="P100" s="13"/>
      <c r="Q100" s="13"/>
    </row>
    <row r="101" spans="11:17" ht="16.5" thickBot="1">
      <c r="K101" s="30" t="s">
        <v>27</v>
      </c>
      <c r="L101" s="31">
        <f>(L98-L99)/(-M98+M99)</f>
        <v>16</v>
      </c>
      <c r="M101" s="32" t="s">
        <v>38</v>
      </c>
      <c r="N101" s="33"/>
      <c r="P101" s="13"/>
      <c r="Q101" s="13"/>
    </row>
    <row r="102" spans="11:17" ht="16.5" thickBot="1">
      <c r="K102" s="18" t="s">
        <v>29</v>
      </c>
      <c r="L102" s="34">
        <f>L98+L101*M98</f>
        <v>4.5</v>
      </c>
      <c r="O102" s="28" t="s">
        <v>30</v>
      </c>
      <c r="P102" s="29">
        <f>L102/(M98*L101)</f>
        <v>-0.5625</v>
      </c>
      <c r="Q102" s="13"/>
    </row>
    <row r="103" spans="11:18" ht="16.5" thickBot="1">
      <c r="K103" s="21" t="s">
        <v>31</v>
      </c>
      <c r="L103" s="35">
        <f>L101*L102</f>
        <v>72</v>
      </c>
      <c r="P103" s="13"/>
      <c r="Q103" s="98" t="s">
        <v>49</v>
      </c>
      <c r="R103" s="24"/>
    </row>
    <row r="104" spans="11:18" ht="16.5" thickBot="1">
      <c r="K104" s="28" t="s">
        <v>40</v>
      </c>
      <c r="L104" s="42"/>
      <c r="M104" s="40"/>
      <c r="N104" s="32"/>
      <c r="O104" s="32"/>
      <c r="P104" s="99">
        <f>P84*L101</f>
        <v>16</v>
      </c>
      <c r="Q104" s="92" t="s">
        <v>52</v>
      </c>
      <c r="R104" s="25"/>
    </row>
    <row r="105" spans="11:17" ht="15.75">
      <c r="K105" s="51"/>
      <c r="L105" s="46"/>
      <c r="M105" s="47"/>
      <c r="N105" s="47"/>
      <c r="O105" s="48" t="s">
        <v>42</v>
      </c>
      <c r="P105" s="55">
        <f>(L102-L91)*L101</f>
        <v>10.666666666666657</v>
      </c>
      <c r="Q105" s="93">
        <f>P105/P104</f>
        <v>0.6666666666666661</v>
      </c>
    </row>
    <row r="106" spans="11:17" ht="16.5" thickBot="1">
      <c r="K106" s="52"/>
      <c r="L106" s="43"/>
      <c r="M106" s="22"/>
      <c r="N106" s="22"/>
      <c r="O106" s="44" t="s">
        <v>43</v>
      </c>
      <c r="P106" s="35">
        <f>(L91-(L102-M97))*L101</f>
        <v>5.333333333333343</v>
      </c>
      <c r="Q106" s="94">
        <f>P106/P104</f>
        <v>0.3333333333333339</v>
      </c>
    </row>
    <row r="107" spans="11:17" ht="16.5" thickBot="1">
      <c r="K107" s="28"/>
      <c r="L107" s="42"/>
      <c r="M107" s="32"/>
      <c r="N107" s="32"/>
      <c r="O107" s="45" t="s">
        <v>44</v>
      </c>
      <c r="P107" s="36">
        <f>(L90-L101)*M97*0.5</f>
        <v>0.6666666666666661</v>
      </c>
      <c r="Q107" s="14"/>
    </row>
    <row r="108" spans="11:16" ht="13.5" thickBot="1">
      <c r="K108" s="28" t="s">
        <v>45</v>
      </c>
      <c r="L108" s="39"/>
      <c r="M108" s="40"/>
      <c r="N108" s="40"/>
      <c r="O108" s="40"/>
      <c r="P108" s="41">
        <f>P107/P104</f>
        <v>0.04166666666666663</v>
      </c>
    </row>
  </sheetData>
  <printOptions/>
  <pageMargins left="0.3" right="0.3" top="1" bottom="1" header="0.5" footer="0.5"/>
  <pageSetup orientation="portrait" paperSize="9" scale="80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Montclair State University</dc:creator>
  <cp:keywords/>
  <dc:description/>
  <cp:lastModifiedBy>Trial User</cp:lastModifiedBy>
  <cp:lastPrinted>1999-04-13T13:41:15Z</cp:lastPrinted>
  <dcterms:created xsi:type="dcterms:W3CDTF">1998-10-09T20:58:36Z</dcterms:created>
  <cp:category/>
  <cp:version/>
  <cp:contentType/>
  <cp:contentStatus/>
</cp:coreProperties>
</file>