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580" windowHeight="11320" tabRatio="1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<sst xmlns="http://schemas.openxmlformats.org/spreadsheetml/2006/main" count="359" uniqueCount="106">
  <si>
    <t>Derive the basic market equilibrium conditions:</t>
  </si>
  <si>
    <t>Qe=</t>
  </si>
  <si>
    <t>Pe=</t>
  </si>
  <si>
    <t>TR =</t>
  </si>
  <si>
    <t>individual visits per year, in millions</t>
  </si>
  <si>
    <t>cases, per million visitors</t>
  </si>
  <si>
    <t>Economic Value of fatalities</t>
  </si>
  <si>
    <t>mean age of victims</t>
  </si>
  <si>
    <t>a.</t>
  </si>
  <si>
    <t>b.</t>
  </si>
  <si>
    <t>d.</t>
  </si>
  <si>
    <t>e.</t>
  </si>
  <si>
    <t>f.</t>
  </si>
  <si>
    <t>Total fatalities (from above)</t>
  </si>
  <si>
    <t>Derivation of optimal tax to correct for the negative externality</t>
  </si>
  <si>
    <t>Externalities Case Study Control Panel</t>
  </si>
  <si>
    <t>Demand intercept</t>
  </si>
  <si>
    <t>Demand coefficient</t>
  </si>
  <si>
    <t>Supply intercept</t>
  </si>
  <si>
    <t>Supply coefficient</t>
  </si>
  <si>
    <t>WNFR intercept</t>
  </si>
  <si>
    <t>WNFR coefficient</t>
  </si>
  <si>
    <t>WN Fatality Rate</t>
  </si>
  <si>
    <t>Average hospitalization days</t>
  </si>
  <si>
    <t>daily treatment rate</t>
  </si>
  <si>
    <t>mean PV of  fatal victim earnings</t>
  </si>
  <si>
    <t>Version A</t>
  </si>
  <si>
    <t>Version B</t>
  </si>
  <si>
    <t xml:space="preserve">     Although global warming may not be the cause, there has been an apparent increase in environmentally </t>
  </si>
  <si>
    <t>transmitted infections in the adult population.  Below are the basic market conditions for outdoor recreation</t>
  </si>
  <si>
    <t>EVR</t>
  </si>
  <si>
    <t>EVR =</t>
  </si>
  <si>
    <t>Fatality Rate =</t>
  </si>
  <si>
    <t>Derive the incidence of the</t>
  </si>
  <si>
    <t>P. LeBel</t>
  </si>
  <si>
    <t>©2005, 1999</t>
  </si>
  <si>
    <t>Malaria</t>
  </si>
  <si>
    <t>Externalities Case Study Solution Tableau</t>
  </si>
  <si>
    <t>Externalities Case Study Version B Solution Tableau</t>
  </si>
  <si>
    <t>Total cases (rounded)</t>
  </si>
  <si>
    <t>Fatalities =</t>
  </si>
  <si>
    <t>Total fatalities (rounded)</t>
  </si>
  <si>
    <t>Mean daily earnings foregone rate</t>
  </si>
  <si>
    <t>Total foregone earnings due to treatment</t>
  </si>
  <si>
    <t>g.</t>
  </si>
  <si>
    <t>h.</t>
  </si>
  <si>
    <t>I.</t>
  </si>
  <si>
    <t>j.</t>
  </si>
  <si>
    <t>c.</t>
  </si>
  <si>
    <t>Demand minus supply function times quantity = damage level</t>
  </si>
  <si>
    <t>MVR</t>
  </si>
  <si>
    <t>MVR =</t>
  </si>
  <si>
    <t>Q =</t>
  </si>
  <si>
    <t>k.</t>
  </si>
  <si>
    <t>Qx</t>
  </si>
  <si>
    <t>Transformation into quadratic equation to derive optimal quantity:</t>
  </si>
  <si>
    <t>Q1 =</t>
  </si>
  <si>
    <t>Q2 =</t>
  </si>
  <si>
    <r>
      <t>Q</t>
    </r>
    <r>
      <rPr>
        <vertAlign val="superscript"/>
        <sz val="18"/>
        <rFont val="Helv"/>
        <family val="0"/>
      </rPr>
      <t>2</t>
    </r>
  </si>
  <si>
    <t>Economic Value of Victims</t>
  </si>
  <si>
    <t>Pre-tax externality =</t>
  </si>
  <si>
    <t>Average number of days of hospitalization per incident</t>
  </si>
  <si>
    <t>Daily treatment rate, including private and public expenditures</t>
  </si>
  <si>
    <t>Hospital costs per total number of cases, in$U.S.</t>
  </si>
  <si>
    <t>Mean age of victims</t>
  </si>
  <si>
    <t>Mean daily foregone earnings rate</t>
  </si>
  <si>
    <t>Mean present value of earnings per victim, in $U.S.</t>
  </si>
  <si>
    <t>Foregone earnings per number of fatal cases, in $U.S.</t>
  </si>
  <si>
    <t>Total costs of hospital treatment and foregone earnings, in $U.S.</t>
  </si>
  <si>
    <t>Total costs, in $U.S. millions</t>
  </si>
  <si>
    <t xml:space="preserve"> = 0.00</t>
  </si>
  <si>
    <t xml:space="preserve">    =   0.00</t>
  </si>
  <si>
    <t>Fiscal cost rate =</t>
  </si>
  <si>
    <t>Legal/Administrative cost rate =</t>
  </si>
  <si>
    <t>Fiscal cost rate (FS) =</t>
  </si>
  <si>
    <t>Legal and Administrative Cost Rate (LS) =</t>
  </si>
  <si>
    <t>Adjusted level of external damages</t>
  </si>
  <si>
    <t>Evaluation of the impact of the externalities tax</t>
  </si>
  <si>
    <t>Deadweight social welfare loss</t>
  </si>
  <si>
    <t>Tax revenues =</t>
  </si>
  <si>
    <t>FS =</t>
  </si>
  <si>
    <t>LS =</t>
  </si>
  <si>
    <t>average expenditure per individual recreation visit</t>
  </si>
  <si>
    <t>Total recreation revenues, in millions</t>
  </si>
  <si>
    <t>Excise Unit Tax rate =</t>
  </si>
  <si>
    <t>Net tax revenues =</t>
  </si>
  <si>
    <t>Post-tax virus cases =</t>
  </si>
  <si>
    <t>Post-tax virus fatalities =</t>
  </si>
  <si>
    <t>Post-tax externalities =</t>
  </si>
  <si>
    <t xml:space="preserve">Post-tax externalities, $U.S. millions = </t>
  </si>
  <si>
    <t>Reduction in externality =</t>
  </si>
  <si>
    <t>Net Social Benefit =</t>
  </si>
  <si>
    <t>$million</t>
  </si>
  <si>
    <t>Excess Burden Tax Ratio =</t>
  </si>
  <si>
    <t>whose roots are:</t>
  </si>
  <si>
    <t>sites, and the associated incidence of infection by degree of severity for the disease</t>
  </si>
  <si>
    <t>Marburg syndrome</t>
  </si>
  <si>
    <t>Montclair State University</t>
  </si>
  <si>
    <t>School of Business</t>
  </si>
  <si>
    <t>Department of Economics and Finance</t>
  </si>
  <si>
    <t>Pd =</t>
  </si>
  <si>
    <t>Ps =</t>
  </si>
  <si>
    <t>Qd</t>
  </si>
  <si>
    <t>Qs</t>
  </si>
  <si>
    <t>Externalities Case Study</t>
  </si>
  <si>
    <t>Q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</si>
</sst>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&quot;$&quot;#,##0.00"/>
    <numFmt numFmtId="167" formatCode="&quot;$&quot;#,##0"/>
    <numFmt numFmtId="168" formatCode="\+0.00;\ \-0.00"/>
    <numFmt numFmtId="169" formatCode="\(0.00"/>
    <numFmt numFmtId="170" formatCode="0.00\)"/>
    <numFmt numFmtId="171" formatCode="&quot;$&quot;#,##0.0000"/>
    <numFmt numFmtId="172" formatCode="#,##0.0000"/>
    <numFmt numFmtId="173" formatCode="\+&quot;$&quot;#,##0.00;\ \-&quot;$&quot;#,##0.00"/>
    <numFmt numFmtId="174" formatCode="\+&quot;$&quot;#,##0.0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2"/>
      <color indexed="8"/>
      <name val="Helv"/>
      <family val="0"/>
    </font>
    <font>
      <vertAlign val="superscript"/>
      <sz val="18"/>
      <name val="Helv"/>
      <family val="0"/>
    </font>
    <font>
      <b/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Apple Chancery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167" fontId="4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9" fontId="4" fillId="0" borderId="3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center"/>
    </xf>
    <xf numFmtId="172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 horizontal="right"/>
    </xf>
    <xf numFmtId="166" fontId="11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73" fontId="4" fillId="0" borderId="4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74" fontId="4" fillId="0" borderId="4" xfId="0" applyNumberFormat="1" applyFont="1" applyBorder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AG116"/>
  <sheetViews>
    <sheetView tabSelected="1" workbookViewId="0" topLeftCell="A1">
      <selection activeCell="B5" sqref="B5"/>
    </sheetView>
  </sheetViews>
  <sheetFormatPr defaultColWidth="11.421875" defaultRowHeight="12"/>
  <cols>
    <col min="1" max="1" width="4.57421875" style="1" customWidth="1"/>
    <col min="2" max="2" width="5.421875" style="1" customWidth="1"/>
    <col min="3" max="3" width="8.00390625" style="9" customWidth="1"/>
    <col min="4" max="4" width="11.00390625" style="1" customWidth="1"/>
    <col min="5" max="5" width="24.140625" style="7" customWidth="1"/>
    <col min="6" max="6" width="12.421875" style="1" customWidth="1"/>
    <col min="7" max="7" width="20.421875" style="1" customWidth="1"/>
    <col min="8" max="8" width="15.57421875" style="1" customWidth="1"/>
    <col min="9" max="9" width="15.140625" style="1" customWidth="1"/>
    <col min="10" max="10" width="11.57421875" style="1" customWidth="1"/>
    <col min="11" max="11" width="4.421875" style="1" customWidth="1"/>
    <col min="12" max="12" width="6.140625" style="1" customWidth="1"/>
    <col min="13" max="13" width="4.57421875" style="1" customWidth="1"/>
    <col min="14" max="14" width="5.57421875" style="1" hidden="1" customWidth="1"/>
    <col min="15" max="15" width="8.00390625" style="9" hidden="1" customWidth="1"/>
    <col min="16" max="16" width="0" style="1" hidden="1" customWidth="1"/>
    <col min="17" max="17" width="22.8515625" style="7" hidden="1" customWidth="1"/>
    <col min="18" max="18" width="12.421875" style="1" hidden="1" customWidth="1"/>
    <col min="19" max="19" width="22.00390625" style="1" hidden="1" customWidth="1"/>
    <col min="20" max="20" width="15.57421875" style="1" hidden="1" customWidth="1"/>
    <col min="21" max="21" width="15.140625" style="1" hidden="1" customWidth="1"/>
    <col min="22" max="22" width="13.140625" style="1" hidden="1" customWidth="1"/>
    <col min="23" max="23" width="5.00390625" style="1" hidden="1" customWidth="1"/>
    <col min="24" max="24" width="3.8515625" style="1" customWidth="1"/>
    <col min="25" max="29" width="11.00390625" style="1" customWidth="1"/>
    <col min="30" max="30" width="11.00390625" style="7" customWidth="1"/>
    <col min="31" max="32" width="13.8515625" style="1" bestFit="1" customWidth="1"/>
    <col min="33" max="16384" width="11.00390625" style="1" customWidth="1"/>
  </cols>
  <sheetData>
    <row r="1" spans="7:19" ht="30" thickBot="1">
      <c r="G1" s="71" t="s">
        <v>97</v>
      </c>
      <c r="S1" s="71" t="s">
        <v>97</v>
      </c>
    </row>
    <row r="2" spans="7:33" ht="13.5" thickBot="1">
      <c r="G2" s="2" t="s">
        <v>98</v>
      </c>
      <c r="S2" s="2" t="s">
        <v>98</v>
      </c>
      <c r="AC2" s="34"/>
      <c r="AD2" s="35"/>
      <c r="AE2" s="36" t="s">
        <v>15</v>
      </c>
      <c r="AF2" s="37"/>
      <c r="AG2" s="38"/>
    </row>
    <row r="3" spans="7:32" ht="13.5" thickBot="1">
      <c r="G3" s="2" t="s">
        <v>99</v>
      </c>
      <c r="S3" s="2" t="s">
        <v>99</v>
      </c>
      <c r="AC3" s="39"/>
      <c r="AD3" s="40"/>
      <c r="AE3" s="42" t="s">
        <v>26</v>
      </c>
      <c r="AF3" s="41" t="s">
        <v>27</v>
      </c>
    </row>
    <row r="4" spans="3:32" ht="13.5" thickBot="1">
      <c r="C4" s="9" t="s">
        <v>35</v>
      </c>
      <c r="J4" s="3" t="s">
        <v>34</v>
      </c>
      <c r="O4" s="9" t="s">
        <v>35</v>
      </c>
      <c r="V4" s="3" t="s">
        <v>34</v>
      </c>
      <c r="AD4" s="7" t="s">
        <v>16</v>
      </c>
      <c r="AE4" s="28">
        <v>600</v>
      </c>
      <c r="AF4" s="28">
        <v>750</v>
      </c>
    </row>
    <row r="5" spans="4:32" ht="13.5" thickBot="1">
      <c r="D5" s="62"/>
      <c r="E5" s="45"/>
      <c r="F5" s="5"/>
      <c r="G5" s="4" t="s">
        <v>104</v>
      </c>
      <c r="H5" s="5"/>
      <c r="I5" s="6"/>
      <c r="J5" s="61"/>
      <c r="P5" s="62"/>
      <c r="Q5" s="45"/>
      <c r="R5" s="5"/>
      <c r="S5" s="4" t="s">
        <v>104</v>
      </c>
      <c r="T5" s="5"/>
      <c r="U5" s="6"/>
      <c r="V5" s="61"/>
      <c r="W5" s="43"/>
      <c r="AD5" s="7" t="s">
        <v>17</v>
      </c>
      <c r="AE5" s="29">
        <v>-2.6</v>
      </c>
      <c r="AF5" s="29">
        <v>-2.4</v>
      </c>
    </row>
    <row r="6" spans="3:32" ht="13.5" thickBot="1">
      <c r="C6" s="9" t="s">
        <v>28</v>
      </c>
      <c r="O6" s="9" t="s">
        <v>28</v>
      </c>
      <c r="AD6" s="7" t="s">
        <v>18</v>
      </c>
      <c r="AE6" s="28">
        <v>275</v>
      </c>
      <c r="AF6" s="28">
        <v>250</v>
      </c>
    </row>
    <row r="7" spans="3:32" ht="13.5" thickBot="1">
      <c r="C7" s="9" t="s">
        <v>29</v>
      </c>
      <c r="O7" s="9" t="s">
        <v>29</v>
      </c>
      <c r="AD7" s="7" t="s">
        <v>19</v>
      </c>
      <c r="AE7" s="30">
        <v>2.25</v>
      </c>
      <c r="AF7" s="30">
        <v>2.6</v>
      </c>
    </row>
    <row r="8" spans="3:32" ht="13.5" thickBot="1">
      <c r="C8" s="9" t="s">
        <v>95</v>
      </c>
      <c r="I8" s="49" t="str">
        <f>$AE$18</f>
        <v>Malaria</v>
      </c>
      <c r="O8" s="9" t="s">
        <v>95</v>
      </c>
      <c r="U8" s="49" t="str">
        <f>$AF$18</f>
        <v>Marburg syndrome</v>
      </c>
      <c r="AD8" s="7" t="s">
        <v>20</v>
      </c>
      <c r="AE8" s="29">
        <v>60</v>
      </c>
      <c r="AF8" s="29">
        <v>40</v>
      </c>
    </row>
    <row r="9" spans="30:32" ht="13.5" thickBot="1">
      <c r="AD9" s="7" t="s">
        <v>21</v>
      </c>
      <c r="AE9" s="31">
        <v>0.0025</v>
      </c>
      <c r="AF9" s="31">
        <v>0.0025</v>
      </c>
    </row>
    <row r="10" spans="3:32" ht="13.5" thickBot="1">
      <c r="C10" s="14"/>
      <c r="D10" s="15" t="s">
        <v>100</v>
      </c>
      <c r="E10" s="26">
        <f>$AE$4</f>
        <v>600</v>
      </c>
      <c r="F10" s="11">
        <f>$AE$5</f>
        <v>-2.6</v>
      </c>
      <c r="G10" s="12" t="s">
        <v>102</v>
      </c>
      <c r="O10" s="14"/>
      <c r="P10" s="15" t="s">
        <v>100</v>
      </c>
      <c r="Q10" s="26">
        <f>$AF$4</f>
        <v>750</v>
      </c>
      <c r="R10" s="11">
        <f>$AF$5</f>
        <v>-2.4</v>
      </c>
      <c r="S10" s="12" t="s">
        <v>102</v>
      </c>
      <c r="AD10" s="7" t="s">
        <v>22</v>
      </c>
      <c r="AE10" s="31">
        <v>0.25</v>
      </c>
      <c r="AF10" s="31">
        <v>0.25</v>
      </c>
    </row>
    <row r="11" spans="3:32" ht="13.5" thickBot="1">
      <c r="C11" s="14"/>
      <c r="D11" s="15" t="s">
        <v>101</v>
      </c>
      <c r="E11" s="26">
        <f>$AE$6</f>
        <v>275</v>
      </c>
      <c r="F11" s="20">
        <f>$AE$7</f>
        <v>2.25</v>
      </c>
      <c r="G11" s="12" t="s">
        <v>103</v>
      </c>
      <c r="O11" s="14"/>
      <c r="P11" s="15" t="s">
        <v>101</v>
      </c>
      <c r="Q11" s="26">
        <f>$AF$6</f>
        <v>250</v>
      </c>
      <c r="R11" s="20">
        <f>$AF$7</f>
        <v>2.6</v>
      </c>
      <c r="S11" s="12" t="s">
        <v>103</v>
      </c>
      <c r="AD11" s="7" t="s">
        <v>23</v>
      </c>
      <c r="AE11" s="32">
        <v>5.25</v>
      </c>
      <c r="AF11" s="32">
        <v>5.25</v>
      </c>
    </row>
    <row r="12" spans="3:32" ht="13.5" thickBot="1">
      <c r="C12" s="14"/>
      <c r="D12" s="15" t="str">
        <f>$AE$20</f>
        <v>EVR =</v>
      </c>
      <c r="E12" s="25">
        <f>$AE$8</f>
        <v>60</v>
      </c>
      <c r="F12" s="13">
        <f>$AE$9</f>
        <v>0.0025</v>
      </c>
      <c r="G12" s="12" t="s">
        <v>105</v>
      </c>
      <c r="H12" s="1" t="str">
        <f>$AE$18</f>
        <v>Malaria</v>
      </c>
      <c r="O12" s="14"/>
      <c r="P12" s="15" t="str">
        <f>$AF$20</f>
        <v>MVR =</v>
      </c>
      <c r="Q12" s="25">
        <f>$AF$8</f>
        <v>40</v>
      </c>
      <c r="R12" s="13">
        <f>$AF$9</f>
        <v>0.0025</v>
      </c>
      <c r="S12" s="12" t="s">
        <v>105</v>
      </c>
      <c r="T12" s="1" t="str">
        <f>$AF$18</f>
        <v>Marburg syndrome</v>
      </c>
      <c r="AD12" s="7" t="s">
        <v>24</v>
      </c>
      <c r="AE12" s="47">
        <v>825</v>
      </c>
      <c r="AF12" s="47">
        <v>825</v>
      </c>
    </row>
    <row r="13" spans="3:32" ht="13.5" thickBot="1">
      <c r="C13" s="14"/>
      <c r="D13" s="15" t="s">
        <v>32</v>
      </c>
      <c r="E13" s="27">
        <f>$AE$10</f>
        <v>0.25</v>
      </c>
      <c r="F13" s="16" t="str">
        <f>$AE$19</f>
        <v>EVR</v>
      </c>
      <c r="G13" s="12"/>
      <c r="O13" s="14"/>
      <c r="P13" s="15" t="s">
        <v>32</v>
      </c>
      <c r="Q13" s="27">
        <f>$AF$10</f>
        <v>0.25</v>
      </c>
      <c r="R13" s="16" t="str">
        <f>$AF$19</f>
        <v>MVR</v>
      </c>
      <c r="S13" s="12"/>
      <c r="AD13" s="7" t="s">
        <v>7</v>
      </c>
      <c r="AE13" s="32">
        <v>35</v>
      </c>
      <c r="AF13" s="32">
        <v>35</v>
      </c>
    </row>
    <row r="14" spans="3:32" ht="13.5" thickBot="1">
      <c r="C14" s="9">
        <v>1</v>
      </c>
      <c r="D14" s="1" t="s">
        <v>0</v>
      </c>
      <c r="O14" s="9">
        <v>1</v>
      </c>
      <c r="P14" s="1" t="s">
        <v>0</v>
      </c>
      <c r="AD14" s="7" t="s">
        <v>42</v>
      </c>
      <c r="AE14" s="47">
        <v>400</v>
      </c>
      <c r="AF14" s="47">
        <v>400</v>
      </c>
    </row>
    <row r="15" spans="4:32" ht="13.5" thickBot="1">
      <c r="D15" s="10" t="s">
        <v>1</v>
      </c>
      <c r="E15" s="22"/>
      <c r="F15" s="1" t="s">
        <v>4</v>
      </c>
      <c r="P15" s="10" t="s">
        <v>1</v>
      </c>
      <c r="Q15" s="22"/>
      <c r="R15" s="1" t="s">
        <v>4</v>
      </c>
      <c r="AD15" s="7" t="s">
        <v>72</v>
      </c>
      <c r="AE15" s="31">
        <v>0.01</v>
      </c>
      <c r="AF15" s="31">
        <v>0.01</v>
      </c>
    </row>
    <row r="16" spans="4:32" ht="13.5" thickBot="1">
      <c r="D16" s="10" t="s">
        <v>2</v>
      </c>
      <c r="E16" s="23"/>
      <c r="F16" s="1" t="s">
        <v>82</v>
      </c>
      <c r="P16" s="10" t="s">
        <v>2</v>
      </c>
      <c r="Q16" s="23"/>
      <c r="R16" s="1" t="s">
        <v>82</v>
      </c>
      <c r="AD16" s="7" t="s">
        <v>73</v>
      </c>
      <c r="AE16" s="31">
        <v>0.1</v>
      </c>
      <c r="AF16" s="31">
        <v>0.1</v>
      </c>
    </row>
    <row r="17" spans="4:32" ht="13.5" thickBot="1">
      <c r="D17" s="10" t="s">
        <v>3</v>
      </c>
      <c r="E17" s="23"/>
      <c r="F17" s="1" t="s">
        <v>83</v>
      </c>
      <c r="P17" s="10" t="s">
        <v>3</v>
      </c>
      <c r="Q17" s="23"/>
      <c r="R17" s="1" t="s">
        <v>83</v>
      </c>
      <c r="AD17" s="7" t="s">
        <v>25</v>
      </c>
      <c r="AE17" s="33">
        <v>2350000</v>
      </c>
      <c r="AF17" s="33">
        <v>2350000</v>
      </c>
    </row>
    <row r="18" spans="3:32" ht="13.5" thickBot="1">
      <c r="C18" s="9">
        <v>2</v>
      </c>
      <c r="D18" s="1" t="s">
        <v>33</v>
      </c>
      <c r="F18" s="1" t="str">
        <f>$AE$18</f>
        <v>Malaria</v>
      </c>
      <c r="O18" s="9">
        <v>2</v>
      </c>
      <c r="P18" s="1" t="s">
        <v>33</v>
      </c>
      <c r="R18" s="1" t="str">
        <f>$AF$18</f>
        <v>Marburg syndrome</v>
      </c>
      <c r="AE18" s="7" t="s">
        <v>36</v>
      </c>
      <c r="AF18" s="1" t="s">
        <v>96</v>
      </c>
    </row>
    <row r="19" spans="3:32" ht="13.5" thickBot="1">
      <c r="C19" s="14"/>
      <c r="D19" s="15" t="str">
        <f>$AE$20</f>
        <v>EVR =</v>
      </c>
      <c r="E19" s="24"/>
      <c r="F19" s="1" t="s">
        <v>5</v>
      </c>
      <c r="O19" s="14"/>
      <c r="P19" s="15" t="str">
        <f>$AF$20</f>
        <v>MVR =</v>
      </c>
      <c r="Q19" s="24"/>
      <c r="R19" s="1" t="s">
        <v>5</v>
      </c>
      <c r="AE19" s="7" t="s">
        <v>30</v>
      </c>
      <c r="AF19" s="1" t="s">
        <v>50</v>
      </c>
    </row>
    <row r="20" spans="3:32" ht="13.5" thickBot="1">
      <c r="C20" s="14"/>
      <c r="D20" s="15" t="str">
        <f>$AE$19</f>
        <v>EVR</v>
      </c>
      <c r="E20" s="46"/>
      <c r="F20" s="1" t="s">
        <v>39</v>
      </c>
      <c r="O20" s="14"/>
      <c r="P20" s="15" t="str">
        <f>$AF$19</f>
        <v>MVR</v>
      </c>
      <c r="Q20" s="46"/>
      <c r="R20" s="1" t="s">
        <v>39</v>
      </c>
      <c r="AE20" s="7" t="s">
        <v>31</v>
      </c>
      <c r="AF20" s="1" t="s">
        <v>51</v>
      </c>
    </row>
    <row r="21" spans="3:30" ht="13.5" thickBot="1">
      <c r="C21" s="14"/>
      <c r="D21" s="15" t="s">
        <v>40</v>
      </c>
      <c r="E21" s="46"/>
      <c r="F21" s="1" t="s">
        <v>41</v>
      </c>
      <c r="O21" s="14"/>
      <c r="P21" s="15" t="s">
        <v>40</v>
      </c>
      <c r="Q21" s="46"/>
      <c r="R21" s="1" t="s">
        <v>41</v>
      </c>
      <c r="AD21" s="1"/>
    </row>
    <row r="22" ht="12.75">
      <c r="AD22" s="1"/>
    </row>
    <row r="23" spans="3:30" ht="13.5" thickBot="1">
      <c r="C23" s="9">
        <v>3</v>
      </c>
      <c r="D23" s="1" t="s">
        <v>6</v>
      </c>
      <c r="O23" s="9">
        <v>3</v>
      </c>
      <c r="P23" s="1" t="s">
        <v>6</v>
      </c>
      <c r="AD23" s="1"/>
    </row>
    <row r="24" spans="4:30" ht="13.5" thickBot="1">
      <c r="D24" s="7" t="s">
        <v>8</v>
      </c>
      <c r="E24" s="17">
        <f>$AE$11</f>
        <v>5.25</v>
      </c>
      <c r="F24" s="1" t="s">
        <v>61</v>
      </c>
      <c r="P24" s="7" t="s">
        <v>8</v>
      </c>
      <c r="Q24" s="17">
        <f>$AF$11</f>
        <v>5.25</v>
      </c>
      <c r="R24" s="1" t="s">
        <v>61</v>
      </c>
      <c r="AD24" s="1"/>
    </row>
    <row r="25" spans="4:30" ht="13.5" thickBot="1">
      <c r="D25" s="7" t="s">
        <v>9</v>
      </c>
      <c r="E25" s="18">
        <f>$AE$12</f>
        <v>825</v>
      </c>
      <c r="F25" s="1" t="s">
        <v>62</v>
      </c>
      <c r="P25" s="7" t="s">
        <v>9</v>
      </c>
      <c r="Q25" s="18">
        <f>$AF$12</f>
        <v>825</v>
      </c>
      <c r="R25" s="1" t="s">
        <v>62</v>
      </c>
      <c r="AD25" s="1"/>
    </row>
    <row r="26" spans="4:30" ht="13.5" thickBot="1">
      <c r="D26" s="7" t="s">
        <v>48</v>
      </c>
      <c r="E26" s="19"/>
      <c r="F26" s="1" t="s">
        <v>63</v>
      </c>
      <c r="P26" s="7" t="s">
        <v>48</v>
      </c>
      <c r="Q26" s="19"/>
      <c r="R26" s="1" t="s">
        <v>63</v>
      </c>
      <c r="AD26" s="1"/>
    </row>
    <row r="27" spans="4:30" ht="13.5" thickBot="1">
      <c r="D27" s="7" t="s">
        <v>10</v>
      </c>
      <c r="E27" s="21">
        <f>$AE$13</f>
        <v>35</v>
      </c>
      <c r="F27" s="1" t="s">
        <v>64</v>
      </c>
      <c r="P27" s="7" t="s">
        <v>10</v>
      </c>
      <c r="Q27" s="21">
        <f>$AF$13</f>
        <v>35</v>
      </c>
      <c r="R27" s="1" t="s">
        <v>64</v>
      </c>
      <c r="AD27" s="1"/>
    </row>
    <row r="28" spans="4:18" ht="13.5" thickBot="1">
      <c r="D28" s="7" t="s">
        <v>11</v>
      </c>
      <c r="E28" s="19">
        <f>$AE$14</f>
        <v>400</v>
      </c>
      <c r="F28" s="1" t="s">
        <v>65</v>
      </c>
      <c r="P28" s="7" t="s">
        <v>11</v>
      </c>
      <c r="Q28" s="19">
        <f>$AF$14</f>
        <v>400</v>
      </c>
      <c r="R28" s="1" t="s">
        <v>65</v>
      </c>
    </row>
    <row r="29" spans="4:18" ht="13.5" thickBot="1">
      <c r="D29" s="7" t="s">
        <v>12</v>
      </c>
      <c r="E29" s="19"/>
      <c r="F29" s="1" t="s">
        <v>43</v>
      </c>
      <c r="P29" s="7" t="s">
        <v>12</v>
      </c>
      <c r="Q29" s="19"/>
      <c r="R29" s="1" t="s">
        <v>43</v>
      </c>
    </row>
    <row r="30" spans="4:18" ht="13.5" thickBot="1">
      <c r="D30" s="7" t="s">
        <v>44</v>
      </c>
      <c r="E30" s="18">
        <f>$AE$17</f>
        <v>2350000</v>
      </c>
      <c r="F30" s="1" t="s">
        <v>66</v>
      </c>
      <c r="P30" s="7" t="s">
        <v>44</v>
      </c>
      <c r="Q30" s="18">
        <f>$AF$17</f>
        <v>2350000</v>
      </c>
      <c r="R30" s="1" t="s">
        <v>66</v>
      </c>
    </row>
    <row r="31" spans="4:18" ht="13.5" thickBot="1">
      <c r="D31" s="7" t="s">
        <v>45</v>
      </c>
      <c r="E31" s="48"/>
      <c r="F31" s="1" t="s">
        <v>13</v>
      </c>
      <c r="P31" s="7" t="s">
        <v>45</v>
      </c>
      <c r="Q31" s="48"/>
      <c r="R31" s="1" t="s">
        <v>13</v>
      </c>
    </row>
    <row r="32" spans="4:18" ht="13.5" thickBot="1">
      <c r="D32" s="7" t="s">
        <v>46</v>
      </c>
      <c r="E32" s="19"/>
      <c r="F32" s="1" t="s">
        <v>67</v>
      </c>
      <c r="P32" s="7" t="s">
        <v>46</v>
      </c>
      <c r="Q32" s="19"/>
      <c r="R32" s="1" t="s">
        <v>67</v>
      </c>
    </row>
    <row r="33" spans="4:18" ht="13.5" thickBot="1">
      <c r="D33" s="7" t="s">
        <v>47</v>
      </c>
      <c r="E33" s="19"/>
      <c r="F33" s="1" t="s">
        <v>68</v>
      </c>
      <c r="P33" s="7" t="s">
        <v>47</v>
      </c>
      <c r="Q33" s="19"/>
      <c r="R33" s="1" t="s">
        <v>68</v>
      </c>
    </row>
    <row r="34" spans="4:18" ht="13.5" thickBot="1">
      <c r="D34" s="7" t="s">
        <v>53</v>
      </c>
      <c r="E34" s="19"/>
      <c r="F34" s="1" t="s">
        <v>69</v>
      </c>
      <c r="P34" s="7" t="s">
        <v>53</v>
      </c>
      <c r="Q34" s="19"/>
      <c r="R34" s="1" t="s">
        <v>69</v>
      </c>
    </row>
    <row r="35" spans="3:16" ht="13.5" thickBot="1">
      <c r="C35" s="9">
        <v>4</v>
      </c>
      <c r="D35" s="60" t="s">
        <v>14</v>
      </c>
      <c r="O35" s="9">
        <v>4</v>
      </c>
      <c r="P35" s="60" t="s">
        <v>14</v>
      </c>
    </row>
    <row r="36" spans="4:21" ht="13.5" thickBot="1">
      <c r="D36" s="7" t="s">
        <v>8</v>
      </c>
      <c r="H36" s="7" t="s">
        <v>74</v>
      </c>
      <c r="I36" s="57">
        <f>$AE$15</f>
        <v>0.01</v>
      </c>
      <c r="P36" s="7" t="s">
        <v>8</v>
      </c>
      <c r="T36" s="7" t="s">
        <v>74</v>
      </c>
      <c r="U36" s="57">
        <f>$AF$15</f>
        <v>0.01</v>
      </c>
    </row>
    <row r="37" spans="8:21" ht="13.5" thickBot="1">
      <c r="H37" s="7" t="s">
        <v>75</v>
      </c>
      <c r="I37" s="57">
        <f>$AE$16</f>
        <v>0.1</v>
      </c>
      <c r="T37" s="7" t="s">
        <v>75</v>
      </c>
      <c r="U37" s="57">
        <f>$AF$16</f>
        <v>0.1</v>
      </c>
    </row>
    <row r="38" spans="4:21" ht="13.5" thickBot="1">
      <c r="D38" s="7" t="s">
        <v>9</v>
      </c>
      <c r="E38" s="49" t="s">
        <v>76</v>
      </c>
      <c r="H38" s="19"/>
      <c r="I38" s="55"/>
      <c r="P38" s="7" t="s">
        <v>9</v>
      </c>
      <c r="Q38" s="49" t="s">
        <v>76</v>
      </c>
      <c r="T38" s="19"/>
      <c r="U38" s="55"/>
    </row>
    <row r="39" spans="4:17" ht="13.5" thickBot="1">
      <c r="D39" s="7" t="s">
        <v>48</v>
      </c>
      <c r="E39" s="49" t="s">
        <v>49</v>
      </c>
      <c r="P39" s="7" t="s">
        <v>48</v>
      </c>
      <c r="Q39" s="49" t="s">
        <v>49</v>
      </c>
    </row>
    <row r="40" spans="5:21" ht="13.5" thickBot="1">
      <c r="E40" s="50"/>
      <c r="F40" s="51"/>
      <c r="G40" s="16" t="s">
        <v>54</v>
      </c>
      <c r="H40" s="16" t="s">
        <v>52</v>
      </c>
      <c r="I40" s="52"/>
      <c r="Q40" s="50"/>
      <c r="R40" s="51"/>
      <c r="S40" s="16" t="s">
        <v>54</v>
      </c>
      <c r="T40" s="16" t="s">
        <v>52</v>
      </c>
      <c r="U40" s="52"/>
    </row>
    <row r="41" spans="5:17" ht="13.5" thickBot="1">
      <c r="E41" s="1" t="s">
        <v>55</v>
      </c>
      <c r="Q41" s="1" t="s">
        <v>55</v>
      </c>
    </row>
    <row r="42" spans="5:21" ht="24" customHeight="1" thickBot="1">
      <c r="E42" s="10" t="s">
        <v>58</v>
      </c>
      <c r="F42" s="16"/>
      <c r="G42" s="16" t="s">
        <v>105</v>
      </c>
      <c r="H42" s="53"/>
      <c r="I42" s="12"/>
      <c r="Q42" s="10" t="s">
        <v>58</v>
      </c>
      <c r="R42" s="16"/>
      <c r="S42" s="16" t="s">
        <v>105</v>
      </c>
      <c r="T42" s="53"/>
      <c r="U42" s="12"/>
    </row>
    <row r="43" spans="4:20" ht="18" customHeight="1" thickBot="1">
      <c r="D43" s="7" t="s">
        <v>94</v>
      </c>
      <c r="E43" s="10" t="s">
        <v>56</v>
      </c>
      <c r="F43" s="25"/>
      <c r="G43" s="15" t="s">
        <v>57</v>
      </c>
      <c r="H43" s="54"/>
      <c r="P43" s="1" t="s">
        <v>94</v>
      </c>
      <c r="Q43" s="10" t="s">
        <v>56</v>
      </c>
      <c r="R43" s="25"/>
      <c r="S43" s="15" t="s">
        <v>57</v>
      </c>
      <c r="T43" s="54"/>
    </row>
    <row r="44" spans="5:21" ht="13.5" thickBot="1">
      <c r="E44" s="7" t="s">
        <v>84</v>
      </c>
      <c r="F44" s="19"/>
      <c r="G44" s="44"/>
      <c r="H44" s="56" t="s">
        <v>79</v>
      </c>
      <c r="I44" s="47"/>
      <c r="Q44" s="7" t="s">
        <v>84</v>
      </c>
      <c r="R44" s="19"/>
      <c r="S44" s="44"/>
      <c r="T44" s="56" t="s">
        <v>79</v>
      </c>
      <c r="U44" s="47"/>
    </row>
    <row r="45" spans="5:21" ht="13.5" thickBot="1">
      <c r="E45" s="7" t="s">
        <v>78</v>
      </c>
      <c r="F45" s="47"/>
      <c r="G45" s="44"/>
      <c r="H45" s="56" t="s">
        <v>80</v>
      </c>
      <c r="I45" s="47"/>
      <c r="Q45" s="7" t="s">
        <v>78</v>
      </c>
      <c r="R45" s="47"/>
      <c r="S45" s="44"/>
      <c r="T45" s="56" t="s">
        <v>80</v>
      </c>
      <c r="U45" s="47"/>
    </row>
    <row r="46" spans="5:21" ht="13.5" thickBot="1">
      <c r="E46" s="7" t="s">
        <v>93</v>
      </c>
      <c r="F46" s="58"/>
      <c r="H46" s="56" t="s">
        <v>81</v>
      </c>
      <c r="I46" s="47"/>
      <c r="Q46" s="7" t="s">
        <v>93</v>
      </c>
      <c r="R46" s="58"/>
      <c r="T46" s="56" t="s">
        <v>81</v>
      </c>
      <c r="U46" s="47"/>
    </row>
    <row r="47" spans="8:21" ht="13.5" thickBot="1">
      <c r="H47" s="7" t="s">
        <v>85</v>
      </c>
      <c r="I47" s="47"/>
      <c r="T47" s="7" t="s">
        <v>85</v>
      </c>
      <c r="U47" s="47"/>
    </row>
    <row r="48" spans="3:17" ht="13.5" thickBot="1">
      <c r="C48" s="9">
        <v>5</v>
      </c>
      <c r="D48" s="60" t="s">
        <v>77</v>
      </c>
      <c r="E48" s="1"/>
      <c r="O48" s="9">
        <v>5</v>
      </c>
      <c r="P48" s="60" t="s">
        <v>77</v>
      </c>
      <c r="Q48" s="1"/>
    </row>
    <row r="49" spans="5:19" ht="13.5" thickBot="1">
      <c r="E49" s="1"/>
      <c r="F49" s="7" t="s">
        <v>86</v>
      </c>
      <c r="G49" s="59"/>
      <c r="Q49" s="1"/>
      <c r="R49" s="7" t="s">
        <v>86</v>
      </c>
      <c r="S49" s="59"/>
    </row>
    <row r="50" spans="5:19" ht="13.5" thickBot="1">
      <c r="E50" s="1"/>
      <c r="F50" s="7" t="s">
        <v>87</v>
      </c>
      <c r="G50" s="59"/>
      <c r="Q50" s="1"/>
      <c r="R50" s="7" t="s">
        <v>87</v>
      </c>
      <c r="S50" s="59"/>
    </row>
    <row r="51" spans="5:19" ht="13.5" thickBot="1">
      <c r="E51" s="1"/>
      <c r="F51" s="7" t="s">
        <v>88</v>
      </c>
      <c r="G51" s="47"/>
      <c r="Q51" s="1"/>
      <c r="R51" s="7" t="s">
        <v>88</v>
      </c>
      <c r="S51" s="47"/>
    </row>
    <row r="52" spans="5:19" ht="13.5" thickBot="1">
      <c r="E52" s="1"/>
      <c r="F52" s="7" t="s">
        <v>89</v>
      </c>
      <c r="G52" s="47"/>
      <c r="Q52" s="1"/>
      <c r="R52" s="7" t="s">
        <v>89</v>
      </c>
      <c r="S52" s="47"/>
    </row>
    <row r="53" spans="5:19" ht="13.5" thickBot="1">
      <c r="E53" s="1"/>
      <c r="F53" s="7" t="s">
        <v>90</v>
      </c>
      <c r="G53" s="47"/>
      <c r="Q53" s="1"/>
      <c r="R53" s="7" t="s">
        <v>90</v>
      </c>
      <c r="S53" s="47"/>
    </row>
    <row r="54" spans="5:19" ht="13.5" thickBot="1">
      <c r="E54" s="1"/>
      <c r="F54" s="56" t="s">
        <v>80</v>
      </c>
      <c r="G54" s="47"/>
      <c r="Q54" s="1"/>
      <c r="R54" s="56" t="s">
        <v>80</v>
      </c>
      <c r="S54" s="47"/>
    </row>
    <row r="55" spans="5:19" ht="13.5" thickBot="1">
      <c r="E55" s="1"/>
      <c r="F55" s="56" t="s">
        <v>81</v>
      </c>
      <c r="G55" s="47"/>
      <c r="Q55" s="1"/>
      <c r="R55" s="56" t="s">
        <v>81</v>
      </c>
      <c r="S55" s="47"/>
    </row>
    <row r="56" spans="5:20" ht="13.5" thickBot="1">
      <c r="E56" s="1"/>
      <c r="F56" s="7" t="s">
        <v>91</v>
      </c>
      <c r="G56" s="47"/>
      <c r="H56" s="1" t="s">
        <v>92</v>
      </c>
      <c r="Q56" s="1"/>
      <c r="R56" s="7" t="s">
        <v>91</v>
      </c>
      <c r="S56" s="47"/>
      <c r="T56" s="1" t="s">
        <v>92</v>
      </c>
    </row>
    <row r="59" spans="7:19" ht="28.5">
      <c r="G59" s="71" t="s">
        <v>97</v>
      </c>
      <c r="S59" s="71" t="s">
        <v>97</v>
      </c>
    </row>
    <row r="60" spans="7:19" ht="12.75">
      <c r="G60" s="2" t="s">
        <v>98</v>
      </c>
      <c r="S60" s="2" t="s">
        <v>98</v>
      </c>
    </row>
    <row r="61" spans="7:19" ht="12.75">
      <c r="G61" s="2" t="s">
        <v>99</v>
      </c>
      <c r="S61" s="2" t="s">
        <v>99</v>
      </c>
    </row>
    <row r="62" spans="3:22" ht="13.5" thickBot="1">
      <c r="C62" s="9" t="s">
        <v>35</v>
      </c>
      <c r="J62" s="3" t="s">
        <v>34</v>
      </c>
      <c r="O62" s="9" t="s">
        <v>35</v>
      </c>
      <c r="V62" s="3" t="s">
        <v>34</v>
      </c>
    </row>
    <row r="63" spans="4:23" ht="13.5" thickBot="1">
      <c r="D63" s="62"/>
      <c r="E63" s="45"/>
      <c r="F63" s="5"/>
      <c r="G63" s="4" t="s">
        <v>37</v>
      </c>
      <c r="H63" s="5"/>
      <c r="I63" s="6"/>
      <c r="J63" s="61"/>
      <c r="P63" s="62"/>
      <c r="Q63" s="45"/>
      <c r="R63" s="5"/>
      <c r="S63" s="4" t="s">
        <v>38</v>
      </c>
      <c r="T63" s="5"/>
      <c r="U63" s="6"/>
      <c r="V63" s="61"/>
      <c r="W63" s="43"/>
    </row>
    <row r="64" spans="3:15" ht="12.75">
      <c r="C64" s="9" t="s">
        <v>28</v>
      </c>
      <c r="O64" s="9" t="s">
        <v>28</v>
      </c>
    </row>
    <row r="65" spans="3:15" ht="12.75">
      <c r="C65" s="9" t="s">
        <v>29</v>
      </c>
      <c r="O65" s="9" t="s">
        <v>29</v>
      </c>
    </row>
    <row r="66" spans="3:21" ht="12.75">
      <c r="C66" s="9" t="s">
        <v>95</v>
      </c>
      <c r="I66" s="49" t="str">
        <f>$AE$18</f>
        <v>Malaria</v>
      </c>
      <c r="O66" s="9" t="s">
        <v>95</v>
      </c>
      <c r="U66" s="49" t="str">
        <f>$AF$18</f>
        <v>Marburg syndrome</v>
      </c>
    </row>
    <row r="67" ht="13.5" thickBot="1"/>
    <row r="68" spans="3:19" ht="13.5" thickBot="1">
      <c r="C68" s="14"/>
      <c r="D68" s="15" t="s">
        <v>100</v>
      </c>
      <c r="E68" s="26">
        <f>$AE$4</f>
        <v>600</v>
      </c>
      <c r="F68" s="11">
        <f>$AE$5</f>
        <v>-2.6</v>
      </c>
      <c r="G68" s="12" t="s">
        <v>102</v>
      </c>
      <c r="O68" s="14"/>
      <c r="P68" s="15" t="s">
        <v>100</v>
      </c>
      <c r="Q68" s="26">
        <f>$AF$4</f>
        <v>750</v>
      </c>
      <c r="R68" s="11">
        <f>$AF$5</f>
        <v>-2.4</v>
      </c>
      <c r="S68" s="12" t="s">
        <v>102</v>
      </c>
    </row>
    <row r="69" spans="3:19" ht="13.5" thickBot="1">
      <c r="C69" s="14"/>
      <c r="D69" s="15" t="s">
        <v>101</v>
      </c>
      <c r="E69" s="26">
        <f>$AE$6</f>
        <v>275</v>
      </c>
      <c r="F69" s="20">
        <f>$AE$7</f>
        <v>2.25</v>
      </c>
      <c r="G69" s="12" t="s">
        <v>103</v>
      </c>
      <c r="O69" s="14"/>
      <c r="P69" s="15" t="s">
        <v>101</v>
      </c>
      <c r="Q69" s="26">
        <f>$AF$6</f>
        <v>250</v>
      </c>
      <c r="R69" s="20">
        <f>$AF$7</f>
        <v>2.6</v>
      </c>
      <c r="S69" s="12" t="s">
        <v>103</v>
      </c>
    </row>
    <row r="70" spans="3:20" ht="13.5" thickBot="1">
      <c r="C70" s="14"/>
      <c r="D70" s="15" t="str">
        <f>$AE$20</f>
        <v>EVR =</v>
      </c>
      <c r="E70" s="25">
        <f>$AE$8</f>
        <v>60</v>
      </c>
      <c r="F70" s="13">
        <f>$AE$9</f>
        <v>0.0025</v>
      </c>
      <c r="G70" s="12" t="s">
        <v>105</v>
      </c>
      <c r="H70" s="1" t="str">
        <f>$AE$18</f>
        <v>Malaria</v>
      </c>
      <c r="O70" s="14"/>
      <c r="P70" s="15" t="str">
        <f>$AF$20</f>
        <v>MVR =</v>
      </c>
      <c r="Q70" s="25">
        <f>$AF$8</f>
        <v>40</v>
      </c>
      <c r="R70" s="13">
        <f>$AF$9</f>
        <v>0.0025</v>
      </c>
      <c r="S70" s="12" t="s">
        <v>105</v>
      </c>
      <c r="T70" s="1" t="str">
        <f>$AF$18</f>
        <v>Marburg syndrome</v>
      </c>
    </row>
    <row r="71" spans="3:19" ht="13.5" thickBot="1">
      <c r="C71" s="14"/>
      <c r="D71" s="15" t="s">
        <v>32</v>
      </c>
      <c r="E71" s="27">
        <f>$AE$10</f>
        <v>0.25</v>
      </c>
      <c r="F71" s="16" t="str">
        <f>$AE$19</f>
        <v>EVR</v>
      </c>
      <c r="G71" s="12"/>
      <c r="O71" s="14"/>
      <c r="P71" s="15" t="s">
        <v>32</v>
      </c>
      <c r="Q71" s="27">
        <f>$AF$10</f>
        <v>0.25</v>
      </c>
      <c r="R71" s="16" t="str">
        <f>$AF$19</f>
        <v>MVR</v>
      </c>
      <c r="S71" s="12"/>
    </row>
    <row r="72" spans="5:17" ht="12.75">
      <c r="E72" s="8"/>
      <c r="Q72" s="8"/>
    </row>
    <row r="73" spans="3:16" ht="13.5" thickBot="1">
      <c r="C73" s="9">
        <v>1</v>
      </c>
      <c r="D73" s="1" t="s">
        <v>0</v>
      </c>
      <c r="O73" s="9">
        <v>1</v>
      </c>
      <c r="P73" s="1" t="s">
        <v>0</v>
      </c>
    </row>
    <row r="74" spans="4:18" ht="13.5" thickBot="1">
      <c r="D74" s="10" t="s">
        <v>1</v>
      </c>
      <c r="E74" s="22">
        <f>(E68-E69)/(-F68+F69)</f>
        <v>67.01030927835052</v>
      </c>
      <c r="F74" s="1" t="s">
        <v>4</v>
      </c>
      <c r="P74" s="10" t="s">
        <v>1</v>
      </c>
      <c r="Q74" s="22">
        <f>(Q68-Q69)/(-R68+R69)</f>
        <v>100</v>
      </c>
      <c r="R74" s="1" t="s">
        <v>4</v>
      </c>
    </row>
    <row r="75" spans="4:18" ht="13.5" thickBot="1">
      <c r="D75" s="10" t="s">
        <v>2</v>
      </c>
      <c r="E75" s="23">
        <f>E68+F68*E74</f>
        <v>425.77319587628864</v>
      </c>
      <c r="F75" s="1" t="s">
        <v>82</v>
      </c>
      <c r="P75" s="10" t="s">
        <v>2</v>
      </c>
      <c r="Q75" s="23">
        <f>Q68+R68*Q74</f>
        <v>510</v>
      </c>
      <c r="R75" s="1" t="s">
        <v>82</v>
      </c>
    </row>
    <row r="76" spans="4:18" ht="13.5" thickBot="1">
      <c r="D76" s="10" t="s">
        <v>3</v>
      </c>
      <c r="E76" s="23">
        <f>E74*E75</f>
        <v>28531.19353810182</v>
      </c>
      <c r="F76" s="1" t="s">
        <v>83</v>
      </c>
      <c r="P76" s="10" t="s">
        <v>3</v>
      </c>
      <c r="Q76" s="23">
        <f>Q74*Q75</f>
        <v>51000</v>
      </c>
      <c r="R76" s="1" t="s">
        <v>83</v>
      </c>
    </row>
    <row r="77" spans="3:18" ht="13.5" thickBot="1">
      <c r="C77" s="9">
        <v>2</v>
      </c>
      <c r="D77" s="1" t="s">
        <v>33</v>
      </c>
      <c r="F77" s="1" t="str">
        <f>$AE$18</f>
        <v>Malaria</v>
      </c>
      <c r="O77" s="9">
        <v>2</v>
      </c>
      <c r="P77" s="1" t="s">
        <v>33</v>
      </c>
      <c r="R77" s="1" t="str">
        <f>$AF$18</f>
        <v>Marburg syndrome</v>
      </c>
    </row>
    <row r="78" spans="3:18" ht="13.5" thickBot="1">
      <c r="C78" s="14"/>
      <c r="D78" s="15" t="str">
        <f>$AE$20</f>
        <v>EVR =</v>
      </c>
      <c r="E78" s="24">
        <f>E70+F70*E74</f>
        <v>60.16752577319588</v>
      </c>
      <c r="F78" s="1" t="s">
        <v>5</v>
      </c>
      <c r="O78" s="14"/>
      <c r="P78" s="15" t="str">
        <f>$AF$20</f>
        <v>MVR =</v>
      </c>
      <c r="Q78" s="24">
        <f>Q70+R70*Q74</f>
        <v>40.25</v>
      </c>
      <c r="R78" s="1" t="s">
        <v>5</v>
      </c>
    </row>
    <row r="79" spans="3:18" ht="13.5" thickBot="1">
      <c r="C79" s="14"/>
      <c r="D79" s="15" t="str">
        <f>$AE$19</f>
        <v>EVR</v>
      </c>
      <c r="E79" s="46">
        <f>E74*E78</f>
        <v>4031.8445105749815</v>
      </c>
      <c r="F79" s="1" t="s">
        <v>39</v>
      </c>
      <c r="O79" s="14"/>
      <c r="P79" s="15" t="str">
        <f>$AF$19</f>
        <v>MVR</v>
      </c>
      <c r="Q79" s="46">
        <f>Q74*Q78</f>
        <v>4025</v>
      </c>
      <c r="R79" s="1" t="s">
        <v>39</v>
      </c>
    </row>
    <row r="80" spans="3:18" ht="13.5" thickBot="1">
      <c r="C80" s="14"/>
      <c r="D80" s="15" t="s">
        <v>40</v>
      </c>
      <c r="E80" s="46">
        <f>E71*E79</f>
        <v>1007.9611276437454</v>
      </c>
      <c r="F80" s="1" t="s">
        <v>41</v>
      </c>
      <c r="O80" s="14"/>
      <c r="P80" s="15" t="s">
        <v>40</v>
      </c>
      <c r="Q80" s="46">
        <f>Q71*Q79</f>
        <v>1006.25</v>
      </c>
      <c r="R80" s="1" t="s">
        <v>41</v>
      </c>
    </row>
    <row r="82" spans="3:16" ht="13.5" thickBot="1">
      <c r="C82" s="9">
        <v>3</v>
      </c>
      <c r="D82" s="1" t="s">
        <v>59</v>
      </c>
      <c r="O82" s="9">
        <v>3</v>
      </c>
      <c r="P82" s="1" t="s">
        <v>6</v>
      </c>
    </row>
    <row r="83" spans="4:18" ht="13.5" thickBot="1">
      <c r="D83" s="7" t="s">
        <v>8</v>
      </c>
      <c r="E83" s="17">
        <f>$AE$11</f>
        <v>5.25</v>
      </c>
      <c r="F83" s="1" t="s">
        <v>61</v>
      </c>
      <c r="P83" s="7" t="s">
        <v>8</v>
      </c>
      <c r="Q83" s="17">
        <f>$AF$11</f>
        <v>5.25</v>
      </c>
      <c r="R83" s="1" t="s">
        <v>61</v>
      </c>
    </row>
    <row r="84" spans="4:18" ht="13.5" thickBot="1">
      <c r="D84" s="7" t="s">
        <v>9</v>
      </c>
      <c r="E84" s="18">
        <f>$AE$12</f>
        <v>825</v>
      </c>
      <c r="F84" s="1" t="s">
        <v>62</v>
      </c>
      <c r="P84" s="7" t="s">
        <v>9</v>
      </c>
      <c r="Q84" s="18">
        <f>$AF$12</f>
        <v>825</v>
      </c>
      <c r="R84" s="1" t="s">
        <v>62</v>
      </c>
    </row>
    <row r="85" spans="4:18" ht="13.5" thickBot="1">
      <c r="D85" s="7" t="s">
        <v>48</v>
      </c>
      <c r="E85" s="65">
        <f>$E$79*$E$83*$E$84</f>
        <v>17462926.53642789</v>
      </c>
      <c r="F85" s="1" t="s">
        <v>63</v>
      </c>
      <c r="P85" s="7" t="s">
        <v>48</v>
      </c>
      <c r="Q85" s="65">
        <f>$Q$83*$Q$84*$Q$79</f>
        <v>17433281.25</v>
      </c>
      <c r="R85" s="1" t="s">
        <v>63</v>
      </c>
    </row>
    <row r="86" spans="4:18" ht="13.5" thickBot="1">
      <c r="D86" s="7" t="s">
        <v>10</v>
      </c>
      <c r="E86" s="21">
        <f>$AE$13</f>
        <v>35</v>
      </c>
      <c r="F86" s="1" t="s">
        <v>64</v>
      </c>
      <c r="P86" s="7" t="s">
        <v>10</v>
      </c>
      <c r="Q86" s="21">
        <f>$AF$13</f>
        <v>35</v>
      </c>
      <c r="R86" s="1" t="s">
        <v>64</v>
      </c>
    </row>
    <row r="87" spans="4:18" ht="13.5" thickBot="1">
      <c r="D87" s="7" t="s">
        <v>11</v>
      </c>
      <c r="E87" s="19">
        <f>$AE$14</f>
        <v>400</v>
      </c>
      <c r="F87" s="1" t="s">
        <v>65</v>
      </c>
      <c r="P87" s="7" t="s">
        <v>11</v>
      </c>
      <c r="Q87" s="19">
        <f>$AF$14</f>
        <v>400</v>
      </c>
      <c r="R87" s="1" t="s">
        <v>65</v>
      </c>
    </row>
    <row r="88" spans="4:18" ht="13.5" thickBot="1">
      <c r="D88" s="7" t="s">
        <v>12</v>
      </c>
      <c r="E88" s="65">
        <f>$E$79*$E$83*$E$87</f>
        <v>8466873.472207462</v>
      </c>
      <c r="F88" s="1" t="s">
        <v>43</v>
      </c>
      <c r="P88" s="7" t="s">
        <v>12</v>
      </c>
      <c r="Q88" s="65">
        <f>$Q$83*$Q$87*$Q$79</f>
        <v>8452500</v>
      </c>
      <c r="R88" s="1" t="s">
        <v>43</v>
      </c>
    </row>
    <row r="89" spans="4:18" ht="13.5" thickBot="1">
      <c r="D89" s="7" t="s">
        <v>44</v>
      </c>
      <c r="E89" s="18">
        <f>$AE$17</f>
        <v>2350000</v>
      </c>
      <c r="F89" s="1" t="s">
        <v>66</v>
      </c>
      <c r="P89" s="7" t="s">
        <v>44</v>
      </c>
      <c r="Q89" s="18">
        <f>$AF$17</f>
        <v>2350000</v>
      </c>
      <c r="R89" s="1" t="s">
        <v>66</v>
      </c>
    </row>
    <row r="90" spans="4:18" ht="13.5" thickBot="1">
      <c r="D90" s="7" t="s">
        <v>45</v>
      </c>
      <c r="E90" s="48">
        <f>E80</f>
        <v>1007.9611276437454</v>
      </c>
      <c r="F90" s="1" t="s">
        <v>13</v>
      </c>
      <c r="P90" s="7" t="s">
        <v>45</v>
      </c>
      <c r="Q90" s="48">
        <f>Q80</f>
        <v>1006.25</v>
      </c>
      <c r="R90" s="1" t="s">
        <v>13</v>
      </c>
    </row>
    <row r="91" spans="4:18" ht="13.5" thickBot="1">
      <c r="D91" s="7" t="s">
        <v>46</v>
      </c>
      <c r="E91" s="65">
        <f>E89*E90</f>
        <v>2368708649.9628015</v>
      </c>
      <c r="F91" s="1" t="s">
        <v>67</v>
      </c>
      <c r="P91" s="7" t="s">
        <v>46</v>
      </c>
      <c r="Q91" s="65">
        <f>Q89*Q90</f>
        <v>2364687500</v>
      </c>
      <c r="R91" s="1" t="s">
        <v>67</v>
      </c>
    </row>
    <row r="92" spans="4:18" ht="13.5" thickBot="1">
      <c r="D92" s="7" t="s">
        <v>47</v>
      </c>
      <c r="E92" s="65">
        <f>E85+E88+E91</f>
        <v>2394638449.971437</v>
      </c>
      <c r="F92" s="1" t="s">
        <v>68</v>
      </c>
      <c r="P92" s="7" t="s">
        <v>47</v>
      </c>
      <c r="Q92" s="65">
        <f>Q85+Q88+Q91</f>
        <v>2390573281.25</v>
      </c>
      <c r="R92" s="1" t="s">
        <v>68</v>
      </c>
    </row>
    <row r="93" spans="4:18" ht="13.5" thickBot="1">
      <c r="D93" s="7" t="s">
        <v>53</v>
      </c>
      <c r="E93" s="64">
        <f>E92/10^6</f>
        <v>2394.638449971437</v>
      </c>
      <c r="F93" s="1" t="s">
        <v>69</v>
      </c>
      <c r="P93" s="7" t="s">
        <v>53</v>
      </c>
      <c r="Q93" s="64">
        <f>Q92/10^6</f>
        <v>2390.57328125</v>
      </c>
      <c r="R93" s="1" t="s">
        <v>69</v>
      </c>
    </row>
    <row r="94" spans="3:16" ht="13.5" thickBot="1">
      <c r="C94" s="9">
        <v>4</v>
      </c>
      <c r="D94" s="60" t="s">
        <v>14</v>
      </c>
      <c r="O94" s="9">
        <v>4</v>
      </c>
      <c r="P94" s="60" t="s">
        <v>14</v>
      </c>
    </row>
    <row r="95" spans="4:21" ht="13.5" thickBot="1">
      <c r="D95" s="7" t="s">
        <v>8</v>
      </c>
      <c r="H95" s="7" t="s">
        <v>74</v>
      </c>
      <c r="I95" s="57">
        <f>$AE$15</f>
        <v>0.01</v>
      </c>
      <c r="P95" s="7" t="s">
        <v>8</v>
      </c>
      <c r="T95" s="7" t="s">
        <v>74</v>
      </c>
      <c r="U95" s="57">
        <f>$AF$15</f>
        <v>0.01</v>
      </c>
    </row>
    <row r="96" spans="8:21" ht="13.5" thickBot="1">
      <c r="H96" s="7" t="s">
        <v>75</v>
      </c>
      <c r="I96" s="57">
        <f>$AE$16</f>
        <v>0.1</v>
      </c>
      <c r="T96" s="7" t="s">
        <v>75</v>
      </c>
      <c r="U96" s="57">
        <f>$AF$16</f>
        <v>0.1</v>
      </c>
    </row>
    <row r="97" spans="4:21" ht="13.5" thickBot="1">
      <c r="D97" s="7" t="s">
        <v>9</v>
      </c>
      <c r="E97" s="49" t="s">
        <v>76</v>
      </c>
      <c r="H97" s="19">
        <f>$E$93*(1+$I$95+$I$96)</f>
        <v>2658.048679468295</v>
      </c>
      <c r="I97" s="55"/>
      <c r="P97" s="7" t="s">
        <v>9</v>
      </c>
      <c r="Q97" s="49" t="s">
        <v>76</v>
      </c>
      <c r="T97" s="19">
        <f>$Q$93*(1+$U$95+$U$96)</f>
        <v>2653.5363421875004</v>
      </c>
      <c r="U97" s="55"/>
    </row>
    <row r="98" spans="4:17" ht="13.5" thickBot="1">
      <c r="D98" s="7" t="s">
        <v>48</v>
      </c>
      <c r="E98" s="49" t="s">
        <v>49</v>
      </c>
      <c r="P98" s="7" t="s">
        <v>48</v>
      </c>
      <c r="Q98" s="49" t="s">
        <v>49</v>
      </c>
    </row>
    <row r="99" spans="5:21" ht="13.5" thickBot="1">
      <c r="E99" s="50">
        <f>(E68-E69)</f>
        <v>325</v>
      </c>
      <c r="F99" s="51">
        <f>F68-F69</f>
        <v>-4.85</v>
      </c>
      <c r="G99" s="16" t="s">
        <v>54</v>
      </c>
      <c r="H99" s="16" t="s">
        <v>52</v>
      </c>
      <c r="I99" s="52">
        <f>H97</f>
        <v>2658.048679468295</v>
      </c>
      <c r="Q99" s="50">
        <f>(Q68-Q69)</f>
        <v>500</v>
      </c>
      <c r="R99" s="51">
        <f>R68-R69</f>
        <v>-5</v>
      </c>
      <c r="S99" s="16" t="s">
        <v>54</v>
      </c>
      <c r="T99" s="16" t="s">
        <v>52</v>
      </c>
      <c r="U99" s="52">
        <f>T97</f>
        <v>2653.5363421875004</v>
      </c>
    </row>
    <row r="100" spans="5:17" ht="13.5" thickBot="1">
      <c r="E100" s="1" t="s">
        <v>55</v>
      </c>
      <c r="Q100" s="1" t="s">
        <v>55</v>
      </c>
    </row>
    <row r="101" spans="5:21" ht="24" customHeight="1" thickBot="1">
      <c r="E101" s="10" t="s">
        <v>58</v>
      </c>
      <c r="F101" s="16">
        <f>E99/F99</f>
        <v>-67.01030927835052</v>
      </c>
      <c r="G101" s="16" t="s">
        <v>105</v>
      </c>
      <c r="H101" s="67">
        <f>I99/-F99</f>
        <v>548.0512741171743</v>
      </c>
      <c r="I101" s="66" t="s">
        <v>70</v>
      </c>
      <c r="Q101" s="10" t="s">
        <v>58</v>
      </c>
      <c r="R101" s="16">
        <f>Q99/R99</f>
        <v>-100</v>
      </c>
      <c r="S101" s="16" t="s">
        <v>105</v>
      </c>
      <c r="T101" s="70">
        <f>-U99/R99</f>
        <v>530.7072684375</v>
      </c>
      <c r="U101" s="12" t="s">
        <v>71</v>
      </c>
    </row>
    <row r="102" spans="4:20" ht="13.5" thickBot="1">
      <c r="D102" s="7" t="s">
        <v>94</v>
      </c>
      <c r="E102" s="10" t="s">
        <v>56</v>
      </c>
      <c r="F102" s="25">
        <f>((-F101)+SQRT((F101^2)-4*H101))/2</f>
        <v>57.474804475538605</v>
      </c>
      <c r="G102" s="15" t="s">
        <v>57</v>
      </c>
      <c r="H102" s="54">
        <f>(-F101-SQRT((F101^2)-4*H101))/2</f>
        <v>9.535504802811918</v>
      </c>
      <c r="P102" s="7" t="s">
        <v>94</v>
      </c>
      <c r="Q102" s="10" t="s">
        <v>56</v>
      </c>
      <c r="R102" s="25">
        <f>((-R101)+SQRT((R101^2)-4*T101))/2</f>
        <v>94.37671384366467</v>
      </c>
      <c r="S102" s="15" t="s">
        <v>57</v>
      </c>
      <c r="T102" s="54">
        <f>(-R101-SQRT((R101^2)-4*T101))/2</f>
        <v>5.623286156335325</v>
      </c>
    </row>
    <row r="103" spans="5:21" ht="13.5" thickBot="1">
      <c r="E103" s="7" t="s">
        <v>84</v>
      </c>
      <c r="F103" s="19">
        <f>(E10+F10*F102)-(E11+F11*F102)</f>
        <v>46.24719829363778</v>
      </c>
      <c r="G103" s="44"/>
      <c r="H103" s="56" t="s">
        <v>79</v>
      </c>
      <c r="I103" s="47">
        <f>F102*F103</f>
        <v>2658.048679468294</v>
      </c>
      <c r="Q103" s="7" t="s">
        <v>84</v>
      </c>
      <c r="R103" s="19">
        <f>(Q68+R68*R102)-(Q69+R69*R102)</f>
        <v>28.116430781676627</v>
      </c>
      <c r="S103" s="44"/>
      <c r="T103" s="56" t="s">
        <v>79</v>
      </c>
      <c r="U103" s="47">
        <f>R102*R103</f>
        <v>2653.5363421875</v>
      </c>
    </row>
    <row r="104" spans="5:21" ht="13.5" thickBot="1">
      <c r="E104" s="7" t="s">
        <v>78</v>
      </c>
      <c r="F104" s="47">
        <f>F103*(E74-F102)*0.5</f>
        <v>220.495190722789</v>
      </c>
      <c r="G104" s="44"/>
      <c r="H104" s="56" t="s">
        <v>80</v>
      </c>
      <c r="I104" s="47">
        <f>$E$93*I95</f>
        <v>23.94638449971437</v>
      </c>
      <c r="Q104" s="7" t="s">
        <v>78</v>
      </c>
      <c r="R104" s="47">
        <f>R103*(Q74-R102)*0.5</f>
        <v>79.0533679900813</v>
      </c>
      <c r="S104" s="44"/>
      <c r="T104" s="56" t="s">
        <v>80</v>
      </c>
      <c r="U104" s="47">
        <f>U95*Q93</f>
        <v>23.905732812500002</v>
      </c>
    </row>
    <row r="105" spans="5:21" ht="13.5" thickBot="1">
      <c r="E105" s="7" t="s">
        <v>93</v>
      </c>
      <c r="F105" s="58">
        <f>F104/I103</f>
        <v>0.08295378200782089</v>
      </c>
      <c r="H105" s="56" t="s">
        <v>81</v>
      </c>
      <c r="I105" s="47">
        <f>E93*I96</f>
        <v>239.4638449971437</v>
      </c>
      <c r="Q105" s="7" t="s">
        <v>93</v>
      </c>
      <c r="R105" s="58">
        <f>R104/U103</f>
        <v>0.029791703521539845</v>
      </c>
      <c r="T105" s="56" t="s">
        <v>81</v>
      </c>
      <c r="U105" s="47">
        <f>U96*Q93</f>
        <v>239.05732812500003</v>
      </c>
    </row>
    <row r="106" spans="8:21" ht="13.5" thickBot="1">
      <c r="H106" s="7" t="s">
        <v>85</v>
      </c>
      <c r="I106" s="47">
        <f>I103-I104-I105</f>
        <v>2394.638449971436</v>
      </c>
      <c r="T106" s="7" t="s">
        <v>85</v>
      </c>
      <c r="U106" s="47">
        <f>U103-U104-U105</f>
        <v>2390.57328125</v>
      </c>
    </row>
    <row r="107" spans="3:17" ht="13.5" thickBot="1">
      <c r="C107" s="9">
        <v>5</v>
      </c>
      <c r="D107" s="60" t="s">
        <v>77</v>
      </c>
      <c r="E107" s="1"/>
      <c r="O107" s="9">
        <v>5</v>
      </c>
      <c r="P107" s="60" t="s">
        <v>77</v>
      </c>
      <c r="Q107" s="1"/>
    </row>
    <row r="108" spans="4:19" ht="13.5" thickBot="1">
      <c r="D108" s="60"/>
      <c r="E108" s="1"/>
      <c r="F108" s="7" t="s">
        <v>60</v>
      </c>
      <c r="G108" s="47">
        <f>E93</f>
        <v>2394.638449971437</v>
      </c>
      <c r="P108" s="60"/>
      <c r="Q108" s="1"/>
      <c r="R108" s="7" t="s">
        <v>60</v>
      </c>
      <c r="S108" s="47">
        <f>Q93</f>
        <v>2390.57328125</v>
      </c>
    </row>
    <row r="109" spans="5:19" ht="13.5" thickBot="1">
      <c r="E109" s="1"/>
      <c r="F109" s="7" t="s">
        <v>86</v>
      </c>
      <c r="G109" s="59">
        <f>($E$70+$F$70*F102)*F102</f>
        <v>3456.7466514060698</v>
      </c>
      <c r="Q109" s="1"/>
      <c r="R109" s="7" t="s">
        <v>86</v>
      </c>
      <c r="S109" s="59">
        <f>($Q$70+$R$70*R102)*R102</f>
        <v>3797.335964036409</v>
      </c>
    </row>
    <row r="110" spans="5:19" ht="13.5" thickBot="1">
      <c r="E110" s="1"/>
      <c r="F110" s="7" t="s">
        <v>87</v>
      </c>
      <c r="G110" s="59">
        <f>G109*E71</f>
        <v>864.1866628515174</v>
      </c>
      <c r="Q110" s="1"/>
      <c r="R110" s="7" t="s">
        <v>87</v>
      </c>
      <c r="S110" s="59">
        <f>S109*$Q$71</f>
        <v>949.3339910091023</v>
      </c>
    </row>
    <row r="111" spans="5:19" ht="13.5" thickBot="1">
      <c r="E111" s="1"/>
      <c r="F111" s="7" t="s">
        <v>88</v>
      </c>
      <c r="G111" s="68">
        <f>(G109*E83*E84)+(G109*E83*E87)+(G110*E89)</f>
        <v>2053069859.6029212</v>
      </c>
      <c r="I111" s="69"/>
      <c r="Q111" s="1"/>
      <c r="R111" s="7" t="s">
        <v>88</v>
      </c>
      <c r="S111" s="47">
        <f>(S109*Q83*Q84)+(S109*Q83*Q87)+(S110*Q89)</f>
        <v>2255356495.7900996</v>
      </c>
    </row>
    <row r="112" spans="5:19" ht="13.5" thickBot="1">
      <c r="E112" s="1"/>
      <c r="F112" s="7" t="s">
        <v>89</v>
      </c>
      <c r="G112" s="47">
        <f>G111/10^6</f>
        <v>2053.069859602921</v>
      </c>
      <c r="I112" s="69"/>
      <c r="Q112" s="1"/>
      <c r="R112" s="7" t="s">
        <v>89</v>
      </c>
      <c r="S112" s="47">
        <f>S111/10^6</f>
        <v>2255.3564957900994</v>
      </c>
    </row>
    <row r="113" spans="5:19" ht="13.5" thickBot="1">
      <c r="E113" s="1"/>
      <c r="F113" s="7" t="s">
        <v>90</v>
      </c>
      <c r="G113" s="63">
        <f>G108-G112</f>
        <v>341.56859036851574</v>
      </c>
      <c r="I113"/>
      <c r="Q113" s="1"/>
      <c r="R113" s="7" t="s">
        <v>90</v>
      </c>
      <c r="S113" s="63">
        <f>S108-S112</f>
        <v>135.21678545990062</v>
      </c>
    </row>
    <row r="114" spans="5:19" ht="13.5" thickBot="1">
      <c r="E114" s="1"/>
      <c r="F114" s="56" t="s">
        <v>80</v>
      </c>
      <c r="G114" s="63">
        <f>I104</f>
        <v>23.94638449971437</v>
      </c>
      <c r="I114"/>
      <c r="Q114" s="1"/>
      <c r="R114" s="56" t="s">
        <v>80</v>
      </c>
      <c r="S114" s="63">
        <f>U104</f>
        <v>23.905732812500002</v>
      </c>
    </row>
    <row r="115" spans="5:19" ht="13.5" thickBot="1">
      <c r="E115" s="1"/>
      <c r="F115" s="56" t="s">
        <v>81</v>
      </c>
      <c r="G115" s="63">
        <f>I105</f>
        <v>239.4638449971437</v>
      </c>
      <c r="I115"/>
      <c r="Q115" s="1"/>
      <c r="R115" s="56" t="s">
        <v>81</v>
      </c>
      <c r="S115" s="63">
        <f>U105</f>
        <v>239.05732812500003</v>
      </c>
    </row>
    <row r="116" spans="5:20" ht="13.5" thickBot="1">
      <c r="E116" s="1"/>
      <c r="F116" s="7" t="s">
        <v>91</v>
      </c>
      <c r="G116" s="63">
        <f>G113-G114-G115</f>
        <v>78.15836087165766</v>
      </c>
      <c r="H116" s="1" t="s">
        <v>92</v>
      </c>
      <c r="I116"/>
      <c r="Q116" s="1"/>
      <c r="R116" s="7" t="s">
        <v>91</v>
      </c>
      <c r="S116" s="63">
        <f>S113-S114-S115</f>
        <v>-127.74627547759941</v>
      </c>
      <c r="T116" s="1" t="s">
        <v>92</v>
      </c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2005-12-13T02:55:27Z</cp:lastPrinted>
  <dcterms:created xsi:type="dcterms:W3CDTF">1998-11-04T18:36:00Z</dcterms:created>
  <cp:category/>
  <cp:version/>
  <cp:contentType/>
  <cp:contentStatus/>
</cp:coreProperties>
</file>