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5140" windowHeight="9500" tabRatio="15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<sst xmlns="http://schemas.openxmlformats.org/spreadsheetml/2006/main" count="306" uniqueCount="88">
  <si>
    <t>Italic bold numbers determined</t>
  </si>
  <si>
    <t>from solution values in control</t>
  </si>
  <si>
    <t>panel, and used in the case study</t>
  </si>
  <si>
    <t xml:space="preserve">Determine the welfare consequences from the imposition of the quota </t>
  </si>
  <si>
    <t>and draw a graphical solution below:</t>
  </si>
  <si>
    <t>Subsidies in International Trade</t>
  </si>
  <si>
    <t>Pre-Trade Domestic Equilibrium Quantity</t>
  </si>
  <si>
    <t>Pre-Trade Domestic EquilibriumPrice</t>
  </si>
  <si>
    <t>Domestic Production Unit Subsidy</t>
  </si>
  <si>
    <t>New Supply Intercept</t>
  </si>
  <si>
    <t>New  Pre-Trade Equilibrium Quantity</t>
  </si>
  <si>
    <t>New Pre-Trade Equilibrium Price</t>
  </si>
  <si>
    <t>New Free Trade Qd</t>
  </si>
  <si>
    <t>New Free Trade Qs</t>
  </si>
  <si>
    <t>New Free Trade Imports</t>
  </si>
  <si>
    <t>Subsidies in International Trade Case Study Solution Tableau</t>
  </si>
  <si>
    <t>Now consider the impact of a prodution unit subsidy set at:</t>
  </si>
  <si>
    <t>The inverse equations now will be:</t>
  </si>
  <si>
    <t>which yields a new pre-trade market equilibrium of:</t>
  </si>
  <si>
    <t>and a free trade quantity demanded, quantity supplied, and balance of:</t>
  </si>
  <si>
    <t>With the production subsidy, calculate the following to derive the rate of trade protection</t>
  </si>
  <si>
    <t>The relative inefficiency of the subsidy is:</t>
  </si>
  <si>
    <t xml:space="preserve">Determine the welfare consequences from the imposition of the subsidy </t>
  </si>
  <si>
    <t>Determine the welfare consequences from the imposition of the subsidy:</t>
  </si>
  <si>
    <t>Post-subsidy import level</t>
  </si>
  <si>
    <t>Pe2</t>
  </si>
  <si>
    <t>Subsidies in International Trade Case Study</t>
  </si>
  <si>
    <t>Pe1</t>
  </si>
  <si>
    <t>The total subsidy cost to consumers is:</t>
  </si>
  <si>
    <t>Post-subsidy social welfare is:</t>
  </si>
  <si>
    <t>(=c/(d-b)</t>
  </si>
  <si>
    <t>Montclair State University</t>
  </si>
  <si>
    <t>School of Business</t>
  </si>
  <si>
    <t>Department of Economics and Finance</t>
  </si>
  <si>
    <t xml:space="preserve">     Consider the following market conditions:</t>
  </si>
  <si>
    <t>Pd =</t>
  </si>
  <si>
    <t>Qd</t>
  </si>
  <si>
    <t>Ps =</t>
  </si>
  <si>
    <t>Qs</t>
  </si>
  <si>
    <t>Qd =</t>
  </si>
  <si>
    <t>Qs =</t>
  </si>
  <si>
    <t>Pd</t>
  </si>
  <si>
    <t>Ps</t>
  </si>
  <si>
    <t>©2000</t>
  </si>
  <si>
    <t>The pre-trade domestic market equilibrium is:</t>
  </si>
  <si>
    <t>Qe =</t>
  </si>
  <si>
    <t>Pe =</t>
  </si>
  <si>
    <t>TR =</t>
  </si>
  <si>
    <t>Balance =</t>
  </si>
  <si>
    <t>a.</t>
  </si>
  <si>
    <t>b.</t>
  </si>
  <si>
    <t>imports</t>
  </si>
  <si>
    <t>Original import level</t>
  </si>
  <si>
    <t>(absolute value)</t>
  </si>
  <si>
    <t>Difference in imports</t>
  </si>
  <si>
    <t>Rate of protection</t>
  </si>
  <si>
    <t>c.</t>
  </si>
  <si>
    <t>d.</t>
  </si>
  <si>
    <t>(=c/a)</t>
  </si>
  <si>
    <t>P's</t>
  </si>
  <si>
    <t>Pft</t>
  </si>
  <si>
    <t>Quotas in International Trade</t>
  </si>
  <si>
    <t>P. LeBel</t>
  </si>
  <si>
    <t>The corresponding inverse equations are:</t>
  </si>
  <si>
    <t>Now if the global free trade price is:</t>
  </si>
  <si>
    <t>At the current global free trade price, the free-trade domestic market equilibrium is:</t>
  </si>
  <si>
    <t>Domestic pre-trade total social welfare is:</t>
  </si>
  <si>
    <t>Domestic free trade total social welfare is:</t>
  </si>
  <si>
    <t>e.</t>
  </si>
  <si>
    <t>Case Study Version B</t>
  </si>
  <si>
    <t>A</t>
  </si>
  <si>
    <t>B</t>
  </si>
  <si>
    <t>Functional Demand Intercept</t>
  </si>
  <si>
    <t>Functional Demand Price Coefficient</t>
  </si>
  <si>
    <t>Functional Supply Intercept</t>
  </si>
  <si>
    <t>Functional Supply Price Coefficient</t>
  </si>
  <si>
    <t>Inverse Demand Intercept</t>
  </si>
  <si>
    <t>Inverse Demand Quantity Coefficient</t>
  </si>
  <si>
    <t>Inverse Supply Intercept</t>
  </si>
  <si>
    <t>Inverse Supply Quantity Coefficient</t>
  </si>
  <si>
    <t>Global Free Trade Price</t>
  </si>
  <si>
    <t>Free Trade Imports</t>
  </si>
  <si>
    <t>Quota Rate</t>
  </si>
  <si>
    <t>Quota Limit</t>
  </si>
  <si>
    <t>Solution Tableau Version B</t>
  </si>
  <si>
    <t>Free Trade Qd</t>
  </si>
  <si>
    <t>Free Trade Qs</t>
  </si>
  <si>
    <t>Case Study Control Panel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</si>
</sst>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\+0.00"/>
    <numFmt numFmtId="166" formatCode="\+0.000"/>
    <numFmt numFmtId="167" formatCode="0.000"/>
    <numFmt numFmtId="168" formatCode="&quot;$&quot;#,##0.00"/>
    <numFmt numFmtId="169" formatCode="0.00\ \="/>
    <numFmt numFmtId="170" formatCode="&quot;$&quot;#,##0.000"/>
    <numFmt numFmtId="171" formatCode="&quot;$&quot;#,##0"/>
    <numFmt numFmtId="172" formatCode="0.0000"/>
  </numFmts>
  <fonts count="2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1.75"/>
      <color indexed="12"/>
      <name val="Helv"/>
      <family val="0"/>
    </font>
    <font>
      <b/>
      <sz val="12"/>
      <color indexed="12"/>
      <name val="Helv"/>
      <family val="0"/>
    </font>
    <font>
      <b/>
      <sz val="1.75"/>
      <color indexed="12"/>
      <name val="Helv"/>
      <family val="0"/>
    </font>
    <font>
      <sz val="8.75"/>
      <name val="Helv"/>
      <family val="0"/>
    </font>
    <font>
      <sz val="1.25"/>
      <name val="Helv"/>
      <family val="0"/>
    </font>
    <font>
      <sz val="1"/>
      <name val="Helv"/>
      <family val="0"/>
    </font>
    <font>
      <sz val="9.5"/>
      <name val="Helv"/>
      <family val="0"/>
    </font>
    <font>
      <b/>
      <i/>
      <sz val="12"/>
      <name val="Helv"/>
      <family val="0"/>
    </font>
    <font>
      <b/>
      <sz val="10"/>
      <name val="Helv"/>
      <family val="0"/>
    </font>
    <font>
      <sz val="8.25"/>
      <name val="Helv"/>
      <family val="0"/>
    </font>
    <font>
      <sz val="3"/>
      <name val="Helv"/>
      <family val="0"/>
    </font>
    <font>
      <sz val="3"/>
      <name val="Phyllis"/>
      <family val="0"/>
    </font>
    <font>
      <sz val="3"/>
      <color indexed="56"/>
      <name val="Helv"/>
      <family val="0"/>
    </font>
    <font>
      <b/>
      <sz val="18"/>
      <name val="Apple Chancery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4" xfId="0" applyFont="1" applyBorder="1" applyAlignment="1">
      <alignment horizontal="right"/>
    </xf>
    <xf numFmtId="2" fontId="4" fillId="0" borderId="5" xfId="0" applyNumberFormat="1" applyFont="1" applyBorder="1" applyAlignment="1">
      <alignment/>
    </xf>
    <xf numFmtId="167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66" fontId="4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2" fontId="4" fillId="0" borderId="6" xfId="0" applyNumberFormat="1" applyFont="1" applyBorder="1" applyAlignment="1">
      <alignment/>
    </xf>
    <xf numFmtId="168" fontId="4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6" xfId="0" applyNumberFormat="1" applyFont="1" applyBorder="1" applyAlignment="1">
      <alignment horizontal="right"/>
    </xf>
    <xf numFmtId="10" fontId="4" fillId="0" borderId="6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8" fontId="4" fillId="0" borderId="7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168" fontId="4" fillId="0" borderId="5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6" fontId="4" fillId="0" borderId="11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166" fontId="1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5" xfId="0" applyFont="1" applyBorder="1" applyAlignment="1">
      <alignment horizontal="right"/>
    </xf>
    <xf numFmtId="168" fontId="15" fillId="0" borderId="11" xfId="0" applyNumberFormat="1" applyFont="1" applyBorder="1" applyAlignment="1">
      <alignment/>
    </xf>
    <xf numFmtId="0" fontId="16" fillId="0" borderId="0" xfId="0" applyFont="1" applyAlignment="1">
      <alignment horizontal="right"/>
    </xf>
    <xf numFmtId="168" fontId="4" fillId="0" borderId="0" xfId="0" applyNumberFormat="1" applyFont="1" applyAlignment="1">
      <alignment horizontal="center"/>
    </xf>
    <xf numFmtId="16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167" fontId="18" fillId="0" borderId="0" xfId="0" applyNumberFormat="1" applyFont="1" applyBorder="1" applyAlignment="1">
      <alignment/>
    </xf>
    <xf numFmtId="166" fontId="18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0" fontId="18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Import Quotas and Social Welfare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25"/>
          <c:y val="0.16075"/>
          <c:w val="0.9655"/>
          <c:h val="0.687"/>
        </c:manualLayout>
      </c:layout>
      <c:lineChart>
        <c:grouping val="standard"/>
        <c:varyColors val="0"/>
        <c:marker val="1"/>
        <c:axId val="39233593"/>
        <c:axId val="17558018"/>
      </c:line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58018"/>
        <c:crosses val="autoZero"/>
        <c:auto val="1"/>
        <c:lblOffset val="100"/>
        <c:noMultiLvlLbl val="0"/>
      </c:catAx>
      <c:valAx>
        <c:axId val="17558018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39233593"/>
        <c:crossesAt val="1"/>
        <c:crossBetween val="midCat"/>
        <c:dispUnits/>
        <c:majorUnit val="40"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89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Import Quotas and Social Welfare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lineChart>
        <c:grouping val="standard"/>
        <c:varyColors val="0"/>
        <c:marker val="1"/>
        <c:axId val="23804435"/>
        <c:axId val="12913324"/>
      </c:line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324"/>
        <c:crosses val="autoZero"/>
        <c:auto val="1"/>
        <c:lblOffset val="100"/>
        <c:noMultiLvlLbl val="0"/>
      </c:catAx>
      <c:valAx>
        <c:axId val="12913324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2380443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Production Subsidies and Social Welfare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5"/>
          <c:y val="0.14875"/>
          <c:w val="0.96525"/>
          <c:h val="0.725"/>
        </c:manualLayout>
      </c:layout>
      <c:lineChart>
        <c:grouping val="standard"/>
        <c:varyColors val="0"/>
        <c:ser>
          <c:idx val="0"/>
          <c:order val="0"/>
          <c:tx>
            <c:strRef>
              <c:f>Sheet1!$D$99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Sheet1!$C$100:$C$112</c:f>
              <c:numCache/>
            </c:numRef>
          </c:cat>
          <c:val>
            <c:numRef>
              <c:f>Sheet1!$D$100:$D$112</c:f>
              <c:numCache/>
            </c:numRef>
          </c:val>
          <c:smooth val="0"/>
        </c:ser>
        <c:ser>
          <c:idx val="1"/>
          <c:order val="1"/>
          <c:tx>
            <c:strRef>
              <c:f>Sheet1!$E$99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Sheet1!$C$100:$C$112</c:f>
              <c:numCache/>
            </c:numRef>
          </c:cat>
          <c:val>
            <c:numRef>
              <c:f>Sheet1!$E$100:$E$112</c:f>
              <c:numCache/>
            </c:numRef>
          </c:val>
          <c:smooth val="0"/>
        </c:ser>
        <c:ser>
          <c:idx val="2"/>
          <c:order val="2"/>
          <c:tx>
            <c:v>Subsidy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Sheet1!$C$100:$C$112</c:f>
              <c:numCache/>
            </c:numRef>
          </c:cat>
          <c:val>
            <c:numRef>
              <c:f>Sheet1!$F$100:$F$112</c:f>
              <c:numCache/>
            </c:numRef>
          </c:val>
          <c:smooth val="0"/>
        </c:ser>
        <c:ser>
          <c:idx val="3"/>
          <c:order val="3"/>
          <c:tx>
            <c:v>Global Free Trade Price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Sheet1!$C$100:$C$112</c:f>
              <c:numCache/>
            </c:numRef>
          </c:cat>
          <c:val>
            <c:numRef>
              <c:f>Sheet1!$G$100:$G$112</c:f>
              <c:numCache/>
            </c:numRef>
          </c:val>
          <c:smooth val="0"/>
        </c:ser>
        <c:ser>
          <c:idx val="4"/>
          <c:order val="4"/>
          <c:tx>
            <c:strRef>
              <c:f>Sheet1!$H$99</c:f>
              <c:strCache>
                <c:ptCount val="1"/>
                <c:pt idx="0">
                  <c:v>Pe1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Sheet1!$C$100:$C$112</c:f>
              <c:numCache/>
            </c:numRef>
          </c:cat>
          <c:val>
            <c:numRef>
              <c:f>Sheet1!$H$100:$H$112</c:f>
              <c:numCache/>
            </c:numRef>
          </c:val>
          <c:smooth val="0"/>
        </c:ser>
        <c:ser>
          <c:idx val="5"/>
          <c:order val="5"/>
          <c:tx>
            <c:strRef>
              <c:f>Sheet1!$I$99</c:f>
              <c:strCache>
                <c:ptCount val="1"/>
                <c:pt idx="0">
                  <c:v>Pe2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Sheet1!$C$100:$C$112</c:f>
              <c:numCache/>
            </c:numRef>
          </c:cat>
          <c:val>
            <c:numRef>
              <c:f>Sheet1!$I$100:$I$112</c:f>
              <c:numCache/>
            </c:numRef>
          </c:val>
          <c:smooth val="0"/>
        </c:ser>
        <c:marker val="1"/>
        <c:axId val="49111053"/>
        <c:axId val="39346294"/>
      </c:line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9346294"/>
        <c:crosses val="autoZero"/>
        <c:auto val="1"/>
        <c:lblOffset val="100"/>
        <c:noMultiLvlLbl val="0"/>
      </c:catAx>
      <c:valAx>
        <c:axId val="39346294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9111053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375"/>
          <c:y val="0.889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Production Subsidies and Social Welfare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Sheet1!$P$99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Sheet1!$O$100:$O$112</c:f>
            </c:numRef>
          </c:cat>
          <c:val>
            <c:numRef>
              <c:f>Sheet1!$P$100:$P$112</c:f>
            </c:numRef>
          </c:val>
          <c:smooth val="0"/>
        </c:ser>
        <c:ser>
          <c:idx val="1"/>
          <c:order val="1"/>
          <c:tx>
            <c:strRef>
              <c:f>Sheet1!$Q$99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Sheet1!$O$100:$O$112</c:f>
            </c:numRef>
          </c:cat>
          <c:val>
            <c:numRef>
              <c:f>Sheet1!$Q$100:$Q$112</c:f>
            </c:numRef>
          </c:val>
          <c:smooth val="0"/>
        </c:ser>
        <c:ser>
          <c:idx val="2"/>
          <c:order val="2"/>
          <c:tx>
            <c:v>Subsidy Price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Sheet1!$O$100:$O$112</c:f>
            </c:numRef>
          </c:cat>
          <c:val>
            <c:numRef>
              <c:f>Sheet1!$R$100:$R$112</c:f>
            </c:numRef>
          </c:val>
          <c:smooth val="0"/>
        </c:ser>
        <c:ser>
          <c:idx val="3"/>
          <c:order val="3"/>
          <c:tx>
            <c:v>Global Free Trade Price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Sheet1!$O$100:$O$112</c:f>
            </c:numRef>
          </c:cat>
          <c:val>
            <c:numRef>
              <c:f>Sheet1!$S$100:$S$112</c:f>
            </c:numRef>
          </c:val>
          <c:smooth val="0"/>
        </c:ser>
        <c:ser>
          <c:idx val="4"/>
          <c:order val="4"/>
          <c:tx>
            <c:strRef>
              <c:f>Sheet1!$T$99</c:f>
              <c:strCache>
                <c:ptCount val="1"/>
                <c:pt idx="0">
                  <c:v>Pe1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Sheet1!$O$100:$O$112</c:f>
            </c:numRef>
          </c:cat>
          <c:val>
            <c:numRef>
              <c:f>Sheet1!$T$100:$T$112</c:f>
            </c:numRef>
          </c:val>
          <c:smooth val="0"/>
        </c:ser>
        <c:ser>
          <c:idx val="5"/>
          <c:order val="5"/>
          <c:tx>
            <c:strRef>
              <c:f>Sheet1!$U$99</c:f>
              <c:strCache>
                <c:ptCount val="1"/>
                <c:pt idx="0">
                  <c:v>Pe2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Sheet1!$O$100:$O$112</c:f>
            </c:numRef>
          </c:cat>
          <c:val>
            <c:numRef>
              <c:f>Sheet1!$U$100:$U$112</c:f>
            </c:numRef>
          </c:val>
          <c:smooth val="0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Helv"/>
                <a:ea typeface="Helv"/>
                <a:cs typeface="Helv"/>
              </a:defRPr>
            </a:pPr>
          </a:p>
        </c:txPr>
        <c:crossAx val="32933216"/>
        <c:crosses val="autoZero"/>
        <c:auto val="1"/>
        <c:lblOffset val="100"/>
        <c:noMultiLvlLbl val="0"/>
      </c:catAx>
      <c:valAx>
        <c:axId val="32933216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Helv"/>
                <a:ea typeface="Helv"/>
                <a:cs typeface="Helv"/>
              </a:defRPr>
            </a:pPr>
          </a:p>
        </c:txPr>
        <c:crossAx val="18572327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35</xdr:row>
      <xdr:rowOff>9525</xdr:rowOff>
    </xdr:from>
    <xdr:to>
      <xdr:col>10</xdr:col>
      <xdr:colOff>723900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171575" y="6200775"/>
        <a:ext cx="70389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35</xdr:row>
      <xdr:rowOff>28575</xdr:rowOff>
    </xdr:from>
    <xdr:to>
      <xdr:col>22</xdr:col>
      <xdr:colOff>0</xdr:colOff>
      <xdr:row>49</xdr:row>
      <xdr:rowOff>180975</xdr:rowOff>
    </xdr:to>
    <xdr:graphicFrame>
      <xdr:nvGraphicFramePr>
        <xdr:cNvPr id="2" name="Chart 2"/>
        <xdr:cNvGraphicFramePr/>
      </xdr:nvGraphicFramePr>
      <xdr:xfrm>
        <a:off x="9486900" y="6219825"/>
        <a:ext cx="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97</xdr:row>
      <xdr:rowOff>9525</xdr:rowOff>
    </xdr:from>
    <xdr:to>
      <xdr:col>10</xdr:col>
      <xdr:colOff>695325</xdr:colOff>
      <xdr:row>112</xdr:row>
      <xdr:rowOff>133350</xdr:rowOff>
    </xdr:to>
    <xdr:graphicFrame>
      <xdr:nvGraphicFramePr>
        <xdr:cNvPr id="3" name="Chart 5"/>
        <xdr:cNvGraphicFramePr/>
      </xdr:nvGraphicFramePr>
      <xdr:xfrm>
        <a:off x="1190625" y="16811625"/>
        <a:ext cx="699135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38100</xdr:colOff>
      <xdr:row>97</xdr:row>
      <xdr:rowOff>47625</xdr:rowOff>
    </xdr:from>
    <xdr:to>
      <xdr:col>22</xdr:col>
      <xdr:colOff>0</xdr:colOff>
      <xdr:row>112</xdr:row>
      <xdr:rowOff>180975</xdr:rowOff>
    </xdr:to>
    <xdr:graphicFrame>
      <xdr:nvGraphicFramePr>
        <xdr:cNvPr id="4" name="Chart 6"/>
        <xdr:cNvGraphicFramePr/>
      </xdr:nvGraphicFramePr>
      <xdr:xfrm>
        <a:off x="9486900" y="16840200"/>
        <a:ext cx="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24"/>
  <sheetViews>
    <sheetView tabSelected="1" workbookViewId="0" topLeftCell="A1">
      <selection activeCell="B5" sqref="B5"/>
    </sheetView>
  </sheetViews>
  <sheetFormatPr defaultColWidth="11.421875" defaultRowHeight="12"/>
  <cols>
    <col min="1" max="1" width="8.00390625" style="1" customWidth="1"/>
    <col min="2" max="2" width="9.421875" style="12" customWidth="1"/>
    <col min="3" max="3" width="9.57421875" style="1" customWidth="1"/>
    <col min="4" max="4" width="12.421875" style="9" customWidth="1"/>
    <col min="5" max="5" width="12.00390625" style="1" customWidth="1"/>
    <col min="6" max="6" width="12.421875" style="1" customWidth="1"/>
    <col min="7" max="7" width="12.57421875" style="1" customWidth="1"/>
    <col min="8" max="8" width="12.421875" style="1" customWidth="1"/>
    <col min="9" max="9" width="12.421875" style="1" bestFit="1" customWidth="1"/>
    <col min="10" max="12" width="11.00390625" style="1" customWidth="1"/>
    <col min="13" max="13" width="8.00390625" style="1" customWidth="1"/>
    <col min="14" max="14" width="9.421875" style="58" hidden="1" customWidth="1"/>
    <col min="15" max="15" width="9.57421875" style="59" hidden="1" customWidth="1"/>
    <col min="16" max="16" width="13.57421875" style="60" hidden="1" customWidth="1"/>
    <col min="17" max="17" width="11.140625" style="59" hidden="1" customWidth="1"/>
    <col min="18" max="18" width="12.00390625" style="59" hidden="1" customWidth="1"/>
    <col min="19" max="19" width="12.57421875" style="59" hidden="1" customWidth="1"/>
    <col min="20" max="21" width="12.421875" style="59" hidden="1" customWidth="1"/>
    <col min="22" max="23" width="0" style="59" hidden="1" customWidth="1"/>
    <col min="24" max="28" width="11.00390625" style="1" customWidth="1"/>
    <col min="29" max="29" width="11.8515625" style="1" customWidth="1"/>
    <col min="30" max="30" width="15.421875" style="1" bestFit="1" customWidth="1"/>
    <col min="31" max="31" width="13.8515625" style="1" customWidth="1"/>
    <col min="32" max="16384" width="11.00390625" style="1" customWidth="1"/>
  </cols>
  <sheetData>
    <row r="1" spans="7:32" ht="30" thickBot="1">
      <c r="G1" s="76" t="s">
        <v>31</v>
      </c>
      <c r="S1" s="61" t="s">
        <v>31</v>
      </c>
      <c r="AB1" s="34"/>
      <c r="AC1" s="35"/>
      <c r="AD1" s="36" t="s">
        <v>5</v>
      </c>
      <c r="AE1" s="35"/>
      <c r="AF1" s="37"/>
    </row>
    <row r="2" spans="7:31" ht="13.5" thickBot="1">
      <c r="G2" s="2" t="s">
        <v>32</v>
      </c>
      <c r="S2" s="62" t="s">
        <v>32</v>
      </c>
      <c r="AC2" s="40"/>
      <c r="AD2" s="41" t="s">
        <v>87</v>
      </c>
      <c r="AE2" s="42"/>
    </row>
    <row r="3" spans="7:31" ht="13.5" thickBot="1">
      <c r="G3" s="2" t="s">
        <v>33</v>
      </c>
      <c r="S3" s="62" t="s">
        <v>33</v>
      </c>
      <c r="AD3" s="43" t="s">
        <v>70</v>
      </c>
      <c r="AE3" s="43" t="s">
        <v>71</v>
      </c>
    </row>
    <row r="4" spans="2:31" ht="13.5" thickBot="1">
      <c r="B4" s="12" t="s">
        <v>43</v>
      </c>
      <c r="K4" s="3" t="s">
        <v>62</v>
      </c>
      <c r="N4" s="58" t="s">
        <v>43</v>
      </c>
      <c r="W4" s="60" t="s">
        <v>62</v>
      </c>
      <c r="AC4" s="11" t="s">
        <v>72</v>
      </c>
      <c r="AD4" s="44">
        <v>24</v>
      </c>
      <c r="AE4" s="44">
        <v>30</v>
      </c>
    </row>
    <row r="5" spans="3:31" ht="13.5" thickBot="1">
      <c r="C5" s="31"/>
      <c r="D5" s="53"/>
      <c r="E5" s="10"/>
      <c r="F5" s="5"/>
      <c r="G5" s="4" t="s">
        <v>26</v>
      </c>
      <c r="H5" s="5"/>
      <c r="I5" s="7"/>
      <c r="J5" s="75"/>
      <c r="P5" s="59"/>
      <c r="Q5" s="60"/>
      <c r="R5" s="63"/>
      <c r="S5" s="64" t="s">
        <v>5</v>
      </c>
      <c r="T5" s="63"/>
      <c r="AC5" s="11" t="s">
        <v>73</v>
      </c>
      <c r="AD5" s="45">
        <v>-0.12</v>
      </c>
      <c r="AE5" s="46">
        <v>-0.08</v>
      </c>
    </row>
    <row r="6" spans="4:31" ht="13.5" thickBot="1">
      <c r="D6" s="1"/>
      <c r="E6" s="9"/>
      <c r="F6"/>
      <c r="G6"/>
      <c r="H6"/>
      <c r="P6" s="59"/>
      <c r="Q6" s="60"/>
      <c r="S6" s="62" t="s">
        <v>69</v>
      </c>
      <c r="AC6" s="11" t="s">
        <v>74</v>
      </c>
      <c r="AD6" s="44">
        <v>-7.5</v>
      </c>
      <c r="AE6" s="44">
        <v>-6</v>
      </c>
    </row>
    <row r="7" spans="2:31" ht="13.5" thickBot="1">
      <c r="B7" s="12" t="s">
        <v>34</v>
      </c>
      <c r="G7" s="13" t="s">
        <v>39</v>
      </c>
      <c r="H7" s="14">
        <f>$AD$4</f>
        <v>24</v>
      </c>
      <c r="I7" s="15">
        <f>$AD$5</f>
        <v>-0.12</v>
      </c>
      <c r="J7" s="16" t="s">
        <v>41</v>
      </c>
      <c r="N7" s="58" t="s">
        <v>34</v>
      </c>
      <c r="S7" s="60" t="s">
        <v>39</v>
      </c>
      <c r="T7" s="65">
        <f>$AE$4</f>
        <v>30</v>
      </c>
      <c r="U7" s="66">
        <f>$AE$5</f>
        <v>-0.08</v>
      </c>
      <c r="V7" s="59" t="s">
        <v>41</v>
      </c>
      <c r="AC7" s="11" t="s">
        <v>75</v>
      </c>
      <c r="AD7" s="47">
        <v>0.164</v>
      </c>
      <c r="AE7" s="47">
        <v>0.12</v>
      </c>
    </row>
    <row r="8" spans="4:32" ht="13.5" thickBot="1">
      <c r="D8" s="1"/>
      <c r="G8" s="13" t="s">
        <v>40</v>
      </c>
      <c r="H8" s="14">
        <f>$AD$6</f>
        <v>-7.5</v>
      </c>
      <c r="I8" s="17">
        <f>$AD$7</f>
        <v>0.164</v>
      </c>
      <c r="J8" s="16" t="s">
        <v>42</v>
      </c>
      <c r="P8" s="59"/>
      <c r="S8" s="60" t="s">
        <v>40</v>
      </c>
      <c r="T8" s="65">
        <f>$AE$6</f>
        <v>-6</v>
      </c>
      <c r="U8" s="67">
        <f>$AE$7</f>
        <v>0.12</v>
      </c>
      <c r="V8" s="59" t="s">
        <v>42</v>
      </c>
      <c r="AC8" s="56" t="s">
        <v>76</v>
      </c>
      <c r="AD8" s="50">
        <f>H7/-I7</f>
        <v>200</v>
      </c>
      <c r="AE8" s="50">
        <f>-$AE$4/$AE$5</f>
        <v>375</v>
      </c>
      <c r="AF8" s="1" t="s">
        <v>0</v>
      </c>
    </row>
    <row r="9" spans="2:32" ht="13.5" thickBot="1">
      <c r="B9" s="12" t="s">
        <v>63</v>
      </c>
      <c r="D9" s="1"/>
      <c r="G9" s="28"/>
      <c r="H9" s="29"/>
      <c r="I9" s="30"/>
      <c r="J9" s="31"/>
      <c r="N9" s="58" t="s">
        <v>63</v>
      </c>
      <c r="P9" s="59"/>
      <c r="S9" s="60"/>
      <c r="T9" s="65"/>
      <c r="U9" s="67"/>
      <c r="AC9" s="56" t="s">
        <v>77</v>
      </c>
      <c r="AD9" s="50">
        <f>1/I7</f>
        <v>-8.333333333333334</v>
      </c>
      <c r="AE9" s="51">
        <f>1/$AE$5</f>
        <v>-12.5</v>
      </c>
      <c r="AF9" s="1" t="s">
        <v>1</v>
      </c>
    </row>
    <row r="10" spans="3:32" ht="13.5" thickBot="1">
      <c r="C10" s="13" t="s">
        <v>35</v>
      </c>
      <c r="D10" s="14"/>
      <c r="E10" s="14"/>
      <c r="F10" s="16" t="s">
        <v>36</v>
      </c>
      <c r="O10" s="60" t="s">
        <v>35</v>
      </c>
      <c r="P10" s="59"/>
      <c r="Q10" s="65"/>
      <c r="R10" s="59" t="s">
        <v>36</v>
      </c>
      <c r="AC10" s="56" t="s">
        <v>78</v>
      </c>
      <c r="AD10" s="50">
        <f>-H8/I8</f>
        <v>45.731707317073166</v>
      </c>
      <c r="AE10" s="50">
        <f>-$AE$6/$AE$7</f>
        <v>50</v>
      </c>
      <c r="AF10" s="1" t="s">
        <v>2</v>
      </c>
    </row>
    <row r="11" spans="3:31" ht="13.5" thickBot="1">
      <c r="C11" s="13" t="s">
        <v>37</v>
      </c>
      <c r="D11" s="14"/>
      <c r="E11" s="18"/>
      <c r="F11" s="16" t="s">
        <v>38</v>
      </c>
      <c r="J11" s="9" t="s">
        <v>64</v>
      </c>
      <c r="K11" s="32">
        <f>$AD$14</f>
        <v>85</v>
      </c>
      <c r="O11" s="60" t="s">
        <v>37</v>
      </c>
      <c r="P11" s="59"/>
      <c r="Q11" s="68"/>
      <c r="R11" s="59" t="s">
        <v>38</v>
      </c>
      <c r="V11" s="60" t="s">
        <v>64</v>
      </c>
      <c r="W11" s="69">
        <f>$AE$14</f>
        <v>80</v>
      </c>
      <c r="AC11" s="56" t="s">
        <v>79</v>
      </c>
      <c r="AD11" s="52">
        <f>1/I8</f>
        <v>6.097560975609756</v>
      </c>
      <c r="AE11" s="52">
        <f>1/$AE$7</f>
        <v>8.333333333333334</v>
      </c>
    </row>
    <row r="12" spans="4:31" ht="13.5" thickBot="1">
      <c r="D12" s="1"/>
      <c r="P12" s="59"/>
      <c r="AC12" s="56" t="s">
        <v>6</v>
      </c>
      <c r="AD12" s="50">
        <f>((AD8-AD10)/(-AD9+AD11))</f>
        <v>10.690140845070422</v>
      </c>
      <c r="AE12" s="50">
        <f>((AE8-AE10)/(-AE9+AE11))</f>
        <v>15.599999999999998</v>
      </c>
    </row>
    <row r="13" spans="2:31" ht="13.5" thickBot="1">
      <c r="B13" s="12">
        <v>1</v>
      </c>
      <c r="C13" s="1" t="s">
        <v>44</v>
      </c>
      <c r="D13" s="11"/>
      <c r="H13" s="13" t="s">
        <v>45</v>
      </c>
      <c r="I13" s="20"/>
      <c r="N13" s="58">
        <v>1</v>
      </c>
      <c r="O13" s="59" t="s">
        <v>44</v>
      </c>
      <c r="T13" s="60" t="s">
        <v>45</v>
      </c>
      <c r="U13" s="65"/>
      <c r="AC13" s="56" t="s">
        <v>7</v>
      </c>
      <c r="AD13" s="55">
        <f>(AD8+AD9*AD12)</f>
        <v>110.91549295774648</v>
      </c>
      <c r="AE13" s="55">
        <f>(AE8+AE9*AE12)</f>
        <v>180.00000000000003</v>
      </c>
    </row>
    <row r="14" spans="4:31" ht="13.5" thickBot="1">
      <c r="D14" s="11"/>
      <c r="H14" s="13" t="s">
        <v>46</v>
      </c>
      <c r="I14" s="21"/>
      <c r="T14" s="60" t="s">
        <v>46</v>
      </c>
      <c r="U14" s="69"/>
      <c r="AC14" s="11" t="s">
        <v>80</v>
      </c>
      <c r="AD14" s="48">
        <v>85</v>
      </c>
      <c r="AE14" s="48">
        <v>80</v>
      </c>
    </row>
    <row r="15" spans="4:31" ht="13.5" thickBot="1">
      <c r="D15" s="11"/>
      <c r="H15" s="13" t="s">
        <v>47</v>
      </c>
      <c r="I15" s="21"/>
      <c r="T15" s="60" t="s">
        <v>47</v>
      </c>
      <c r="U15" s="69"/>
      <c r="AC15" s="11" t="s">
        <v>85</v>
      </c>
      <c r="AD15" s="49">
        <f>(AD14-AD8)/AD9</f>
        <v>13.799999999999999</v>
      </c>
      <c r="AE15" s="49">
        <f>(AE14-AE8)/AE9</f>
        <v>23.6</v>
      </c>
    </row>
    <row r="16" spans="2:31" ht="13.5" thickBot="1">
      <c r="B16" s="12">
        <v>2</v>
      </c>
      <c r="C16" s="1" t="s">
        <v>65</v>
      </c>
      <c r="D16" s="11"/>
      <c r="N16" s="58">
        <v>2</v>
      </c>
      <c r="O16" s="59" t="s">
        <v>65</v>
      </c>
      <c r="AC16" s="11" t="s">
        <v>86</v>
      </c>
      <c r="AD16" s="49">
        <f>(AD14-AD10)/(AD11)</f>
        <v>6.44</v>
      </c>
      <c r="AE16" s="49">
        <f>(AE14-AE10)/AE11</f>
        <v>3.5999999999999996</v>
      </c>
    </row>
    <row r="17" spans="8:31" ht="13.5" thickBot="1">
      <c r="H17" s="13" t="s">
        <v>39</v>
      </c>
      <c r="I17" s="20"/>
      <c r="T17" s="60" t="s">
        <v>39</v>
      </c>
      <c r="U17" s="65"/>
      <c r="AC17" s="11" t="s">
        <v>81</v>
      </c>
      <c r="AD17" s="44">
        <f>AD15-AD16</f>
        <v>7.3599999999999985</v>
      </c>
      <c r="AE17" s="44">
        <f>AE15-AE16</f>
        <v>20</v>
      </c>
    </row>
    <row r="18" spans="8:31" ht="13.5" thickBot="1">
      <c r="H18" s="13" t="s">
        <v>40</v>
      </c>
      <c r="I18" s="20"/>
      <c r="T18" s="60" t="s">
        <v>40</v>
      </c>
      <c r="U18" s="65"/>
      <c r="AC18" s="11" t="s">
        <v>8</v>
      </c>
      <c r="AD18" s="48">
        <v>15</v>
      </c>
      <c r="AE18" s="48">
        <v>25</v>
      </c>
    </row>
    <row r="19" spans="8:31" ht="13.5" thickBot="1">
      <c r="H19" s="13" t="s">
        <v>48</v>
      </c>
      <c r="I19" s="20"/>
      <c r="J19" s="1" t="str">
        <f>IF(I19&lt;0,"imports","exports")</f>
        <v>exports</v>
      </c>
      <c r="T19" s="60" t="s">
        <v>48</v>
      </c>
      <c r="U19" s="65"/>
      <c r="AC19" s="11" t="s">
        <v>9</v>
      </c>
      <c r="AD19" s="49">
        <f>AD10-AD18</f>
        <v>30.731707317073166</v>
      </c>
      <c r="AE19" s="49">
        <f>AE10-AE18</f>
        <v>25</v>
      </c>
    </row>
    <row r="20" spans="2:31" ht="13.5" thickBot="1">
      <c r="B20" s="12">
        <v>3</v>
      </c>
      <c r="H20" s="9" t="s">
        <v>16</v>
      </c>
      <c r="I20" s="57">
        <f>$AD$18</f>
        <v>15</v>
      </c>
      <c r="N20" s="58">
        <v>3</v>
      </c>
      <c r="T20" s="60" t="s">
        <v>16</v>
      </c>
      <c r="U20" s="70">
        <f>$AE$18</f>
        <v>25</v>
      </c>
      <c r="AC20" s="11" t="s">
        <v>10</v>
      </c>
      <c r="AD20" s="49">
        <f>(AD8-AD19)/(-AD9+AD11)</f>
        <v>11.729577464788733</v>
      </c>
      <c r="AE20" s="49">
        <f>(AE8-AE19)/(-AE9+AE11)</f>
        <v>16.799999999999997</v>
      </c>
    </row>
    <row r="21" spans="3:31" ht="13.5" thickBot="1">
      <c r="C21" s="1" t="s">
        <v>17</v>
      </c>
      <c r="D21" s="1"/>
      <c r="G21" s="1" t="s">
        <v>18</v>
      </c>
      <c r="N21" s="59"/>
      <c r="O21" s="59" t="s">
        <v>17</v>
      </c>
      <c r="P21" s="59"/>
      <c r="S21" s="59" t="s">
        <v>18</v>
      </c>
      <c r="AC21" s="11" t="s">
        <v>11</v>
      </c>
      <c r="AD21" s="48">
        <f>AD8+AD9*AD20</f>
        <v>102.25352112676056</v>
      </c>
      <c r="AE21" s="48">
        <f>AE8+AE9*AE20</f>
        <v>165.00000000000003</v>
      </c>
    </row>
    <row r="22" spans="3:31" ht="13.5" thickBot="1">
      <c r="C22" s="13" t="s">
        <v>35</v>
      </c>
      <c r="D22" s="14"/>
      <c r="E22" s="14"/>
      <c r="F22" s="16" t="s">
        <v>36</v>
      </c>
      <c r="H22" s="13" t="s">
        <v>45</v>
      </c>
      <c r="I22" s="20"/>
      <c r="N22" s="59"/>
      <c r="O22" s="60" t="s">
        <v>35</v>
      </c>
      <c r="P22" s="65"/>
      <c r="Q22" s="65"/>
      <c r="R22" s="59" t="s">
        <v>36</v>
      </c>
      <c r="T22" s="60" t="s">
        <v>45</v>
      </c>
      <c r="U22" s="65"/>
      <c r="AC22" s="11" t="s">
        <v>12</v>
      </c>
      <c r="AD22" s="49">
        <f>AD15</f>
        <v>13.799999999999999</v>
      </c>
      <c r="AE22" s="49">
        <f>AE15</f>
        <v>23.6</v>
      </c>
    </row>
    <row r="23" spans="3:31" ht="13.5" thickBot="1">
      <c r="C23" s="13" t="s">
        <v>37</v>
      </c>
      <c r="D23" s="14"/>
      <c r="E23" s="18"/>
      <c r="F23" s="16" t="s">
        <v>38</v>
      </c>
      <c r="H23" s="13" t="s">
        <v>46</v>
      </c>
      <c r="I23" s="21"/>
      <c r="N23" s="59"/>
      <c r="O23" s="60" t="s">
        <v>37</v>
      </c>
      <c r="P23" s="65"/>
      <c r="Q23" s="68"/>
      <c r="R23" s="59" t="s">
        <v>38</v>
      </c>
      <c r="T23" s="60" t="s">
        <v>46</v>
      </c>
      <c r="U23" s="69"/>
      <c r="AC23" s="11" t="s">
        <v>13</v>
      </c>
      <c r="AD23" s="49">
        <f>(AD14-AD19)/AD11</f>
        <v>8.9</v>
      </c>
      <c r="AE23" s="49">
        <f>(AE14-AE19)/AE11</f>
        <v>6.6</v>
      </c>
    </row>
    <row r="24" spans="4:31" ht="13.5" thickBot="1">
      <c r="D24" s="1"/>
      <c r="H24" s="13" t="s">
        <v>47</v>
      </c>
      <c r="I24" s="21"/>
      <c r="N24" s="59"/>
      <c r="P24" s="59"/>
      <c r="T24" s="60" t="s">
        <v>47</v>
      </c>
      <c r="U24" s="69"/>
      <c r="AC24" s="11" t="s">
        <v>14</v>
      </c>
      <c r="AD24" s="49">
        <f>AD22-AD23</f>
        <v>4.899999999999999</v>
      </c>
      <c r="AE24" s="49">
        <f>AE22-AE23</f>
        <v>17</v>
      </c>
    </row>
    <row r="25" spans="3:31" ht="13.5" thickBot="1">
      <c r="C25" s="1" t="s">
        <v>19</v>
      </c>
      <c r="D25" s="1"/>
      <c r="N25" s="59"/>
      <c r="O25" s="59" t="s">
        <v>19</v>
      </c>
      <c r="P25" s="59"/>
      <c r="AC25" s="11" t="s">
        <v>82</v>
      </c>
      <c r="AD25" s="45">
        <v>0.6</v>
      </c>
      <c r="AE25" s="45">
        <v>0.7</v>
      </c>
    </row>
    <row r="26" spans="4:31" ht="13.5" thickBot="1">
      <c r="D26" s="1"/>
      <c r="H26" s="13" t="s">
        <v>39</v>
      </c>
      <c r="I26" s="24"/>
      <c r="N26" s="59"/>
      <c r="P26" s="59"/>
      <c r="T26" s="60" t="s">
        <v>39</v>
      </c>
      <c r="U26" s="71"/>
      <c r="AC26" s="11" t="s">
        <v>83</v>
      </c>
      <c r="AD26" s="44">
        <f>AD17*AD25</f>
        <v>4.415999999999999</v>
      </c>
      <c r="AE26" s="44">
        <f>$AE$25*$AE$17</f>
        <v>14</v>
      </c>
    </row>
    <row r="27" spans="4:29" ht="13.5" thickBot="1">
      <c r="D27" s="1"/>
      <c r="H27" s="13" t="s">
        <v>40</v>
      </c>
      <c r="I27" s="20"/>
      <c r="N27" s="59"/>
      <c r="P27" s="59"/>
      <c r="T27" s="60" t="s">
        <v>40</v>
      </c>
      <c r="U27" s="65"/>
      <c r="AC27" s="9"/>
    </row>
    <row r="28" spans="3:29" ht="13.5" thickBot="1">
      <c r="C28" s="9"/>
      <c r="D28" s="23"/>
      <c r="H28" s="13" t="s">
        <v>48</v>
      </c>
      <c r="I28" s="20"/>
      <c r="J28" s="1" t="s">
        <v>51</v>
      </c>
      <c r="O28" s="60"/>
      <c r="P28" s="72"/>
      <c r="T28" s="60" t="s">
        <v>48</v>
      </c>
      <c r="U28" s="65"/>
      <c r="V28" s="59" t="s">
        <v>51</v>
      </c>
      <c r="AC28" s="9"/>
    </row>
    <row r="29" spans="2:29" ht="13.5" thickBot="1">
      <c r="B29" s="12">
        <v>4</v>
      </c>
      <c r="C29" s="1" t="s">
        <v>20</v>
      </c>
      <c r="N29" s="58">
        <v>4</v>
      </c>
      <c r="O29" s="59" t="s">
        <v>20</v>
      </c>
      <c r="AC29" s="9"/>
    </row>
    <row r="30" spans="3:29" ht="13.5" thickBot="1">
      <c r="C30" s="9" t="s">
        <v>49</v>
      </c>
      <c r="D30" s="13"/>
      <c r="E30" s="54" t="s">
        <v>52</v>
      </c>
      <c r="F30" s="20"/>
      <c r="G30" s="1" t="s">
        <v>53</v>
      </c>
      <c r="O30" s="60" t="s">
        <v>49</v>
      </c>
      <c r="Q30" s="60" t="s">
        <v>52</v>
      </c>
      <c r="R30" s="65"/>
      <c r="S30" s="59" t="s">
        <v>53</v>
      </c>
      <c r="AC30" s="9"/>
    </row>
    <row r="31" spans="3:19" ht="13.5" thickBot="1">
      <c r="C31" s="9" t="s">
        <v>50</v>
      </c>
      <c r="D31" s="13"/>
      <c r="E31" s="54" t="s">
        <v>24</v>
      </c>
      <c r="F31" s="20"/>
      <c r="G31" s="1" t="s">
        <v>53</v>
      </c>
      <c r="O31" s="60" t="s">
        <v>50</v>
      </c>
      <c r="Q31" s="60" t="s">
        <v>24</v>
      </c>
      <c r="R31" s="65"/>
      <c r="S31" s="59" t="s">
        <v>53</v>
      </c>
    </row>
    <row r="32" spans="3:18" ht="13.5" thickBot="1">
      <c r="C32" s="9" t="s">
        <v>56</v>
      </c>
      <c r="D32" s="13"/>
      <c r="E32" s="54" t="s">
        <v>54</v>
      </c>
      <c r="F32" s="20"/>
      <c r="O32" s="60" t="s">
        <v>56</v>
      </c>
      <c r="Q32" s="60" t="s">
        <v>54</v>
      </c>
      <c r="R32" s="65"/>
    </row>
    <row r="33" spans="3:19" ht="13.5" thickBot="1">
      <c r="C33" s="9" t="s">
        <v>57</v>
      </c>
      <c r="D33" s="13"/>
      <c r="E33" s="54" t="s">
        <v>55</v>
      </c>
      <c r="F33" s="25"/>
      <c r="G33" s="1" t="s">
        <v>58</v>
      </c>
      <c r="O33" s="60" t="s">
        <v>57</v>
      </c>
      <c r="Q33" s="60" t="s">
        <v>55</v>
      </c>
      <c r="R33" s="73"/>
      <c r="S33" s="59" t="s">
        <v>58</v>
      </c>
    </row>
    <row r="34" spans="2:15" ht="12.75">
      <c r="B34" s="12">
        <v>5</v>
      </c>
      <c r="C34" s="1" t="s">
        <v>22</v>
      </c>
      <c r="N34" s="58">
        <v>5</v>
      </c>
      <c r="O34" s="59" t="s">
        <v>3</v>
      </c>
    </row>
    <row r="35" spans="3:15" ht="12.75">
      <c r="C35" s="1" t="s">
        <v>4</v>
      </c>
      <c r="O35" s="59" t="s">
        <v>4</v>
      </c>
    </row>
    <row r="36" spans="4:20" ht="12.75">
      <c r="D36" s="22" t="s">
        <v>41</v>
      </c>
      <c r="E36" s="22" t="s">
        <v>42</v>
      </c>
      <c r="F36" s="22" t="s">
        <v>59</v>
      </c>
      <c r="G36" s="22" t="s">
        <v>60</v>
      </c>
      <c r="H36" s="26" t="e">
        <f>(D10/I13)^0.25</f>
        <v>#DIV/0!</v>
      </c>
      <c r="P36" s="59"/>
      <c r="T36" s="65"/>
    </row>
    <row r="37" spans="3:16" ht="12.75">
      <c r="C37" s="26"/>
      <c r="D37" s="27"/>
      <c r="E37" s="19"/>
      <c r="F37" s="19"/>
      <c r="G37" s="19"/>
      <c r="P37" s="59"/>
    </row>
    <row r="38" spans="3:16" ht="12.75">
      <c r="C38" s="26"/>
      <c r="D38" s="27"/>
      <c r="E38" s="19"/>
      <c r="F38" s="19"/>
      <c r="G38" s="19"/>
      <c r="P38" s="59"/>
    </row>
    <row r="39" spans="3:16" ht="12.75">
      <c r="C39" s="26"/>
      <c r="D39" s="27"/>
      <c r="E39" s="19"/>
      <c r="F39" s="19"/>
      <c r="G39" s="19"/>
      <c r="P39" s="59"/>
    </row>
    <row r="40" spans="3:16" ht="12.75">
      <c r="C40" s="26"/>
      <c r="D40" s="27"/>
      <c r="E40" s="19"/>
      <c r="F40" s="19"/>
      <c r="G40" s="19"/>
      <c r="P40" s="59"/>
    </row>
    <row r="41" spans="3:16" ht="12.75">
      <c r="C41" s="26"/>
      <c r="D41" s="27"/>
      <c r="E41" s="19"/>
      <c r="F41" s="19"/>
      <c r="G41" s="19"/>
      <c r="P41" s="59"/>
    </row>
    <row r="42" spans="3:16" ht="12.75">
      <c r="C42" s="26"/>
      <c r="D42" s="27"/>
      <c r="E42" s="19"/>
      <c r="F42" s="19"/>
      <c r="G42" s="19"/>
      <c r="P42" s="59"/>
    </row>
    <row r="43" spans="3:16" ht="12.75">
      <c r="C43" s="26"/>
      <c r="D43" s="27"/>
      <c r="E43" s="19"/>
      <c r="F43" s="19"/>
      <c r="G43" s="19"/>
      <c r="P43" s="59"/>
    </row>
    <row r="44" spans="3:16" ht="12.75">
      <c r="C44" s="26"/>
      <c r="D44" s="27"/>
      <c r="E44" s="19"/>
      <c r="F44" s="19"/>
      <c r="G44" s="19"/>
      <c r="P44" s="59"/>
    </row>
    <row r="45" spans="3:16" ht="12.75">
      <c r="C45" s="26"/>
      <c r="D45" s="27"/>
      <c r="E45" s="19"/>
      <c r="F45" s="19"/>
      <c r="G45" s="19"/>
      <c r="P45" s="59"/>
    </row>
    <row r="46" spans="3:16" ht="12.75">
      <c r="C46" s="26"/>
      <c r="D46" s="27"/>
      <c r="E46" s="19"/>
      <c r="F46" s="19"/>
      <c r="G46" s="19"/>
      <c r="P46" s="59"/>
    </row>
    <row r="47" spans="3:16" ht="12.75">
      <c r="C47" s="26"/>
      <c r="D47" s="27"/>
      <c r="E47" s="19"/>
      <c r="F47" s="19"/>
      <c r="G47" s="19"/>
      <c r="P47" s="59"/>
    </row>
    <row r="48" spans="3:16" ht="12.75">
      <c r="C48" s="26"/>
      <c r="D48" s="27"/>
      <c r="E48" s="19"/>
      <c r="F48" s="19"/>
      <c r="G48" s="19"/>
      <c r="P48" s="59"/>
    </row>
    <row r="49" spans="3:16" ht="12.75">
      <c r="C49" s="26"/>
      <c r="D49" s="27"/>
      <c r="E49" s="19"/>
      <c r="F49" s="19"/>
      <c r="G49" s="19"/>
      <c r="P49" s="59"/>
    </row>
    <row r="51" spans="3:20" ht="13.5" thickBot="1">
      <c r="C51" s="9" t="s">
        <v>49</v>
      </c>
      <c r="D51" s="1"/>
      <c r="G51" s="9" t="s">
        <v>66</v>
      </c>
      <c r="H51" s="32"/>
      <c r="O51" s="60" t="s">
        <v>49</v>
      </c>
      <c r="P51" s="59"/>
      <c r="S51" s="60" t="s">
        <v>66</v>
      </c>
      <c r="T51" s="69"/>
    </row>
    <row r="52" spans="3:20" ht="13.5" thickBot="1">
      <c r="C52" s="9" t="s">
        <v>50</v>
      </c>
      <c r="D52" s="1"/>
      <c r="G52" s="9" t="s">
        <v>67</v>
      </c>
      <c r="H52" s="38"/>
      <c r="O52" s="60" t="s">
        <v>50</v>
      </c>
      <c r="P52" s="59"/>
      <c r="S52" s="60" t="s">
        <v>67</v>
      </c>
      <c r="T52" s="69"/>
    </row>
    <row r="53" spans="3:20" ht="13.5" thickBot="1">
      <c r="C53" s="9" t="s">
        <v>56</v>
      </c>
      <c r="G53" s="9" t="s">
        <v>28</v>
      </c>
      <c r="H53" s="38"/>
      <c r="O53" s="60" t="s">
        <v>56</v>
      </c>
      <c r="S53" s="60" t="s">
        <v>28</v>
      </c>
      <c r="T53" s="69"/>
    </row>
    <row r="54" spans="3:20" ht="13.5" thickBot="1">
      <c r="C54" s="9" t="s">
        <v>57</v>
      </c>
      <c r="G54" s="9" t="s">
        <v>29</v>
      </c>
      <c r="H54" s="38"/>
      <c r="O54" s="60" t="s">
        <v>57</v>
      </c>
      <c r="S54" s="60" t="s">
        <v>29</v>
      </c>
      <c r="T54" s="69"/>
    </row>
    <row r="55" spans="3:21" ht="13.5" thickBot="1">
      <c r="C55" s="9" t="s">
        <v>68</v>
      </c>
      <c r="G55" s="9" t="s">
        <v>21</v>
      </c>
      <c r="H55" s="39"/>
      <c r="I55" s="1" t="s">
        <v>30</v>
      </c>
      <c r="O55" s="60" t="s">
        <v>68</v>
      </c>
      <c r="S55" s="60" t="s">
        <v>21</v>
      </c>
      <c r="T55" s="73"/>
      <c r="U55" s="59" t="s">
        <v>30</v>
      </c>
    </row>
    <row r="56" spans="3:15" ht="12.75">
      <c r="C56" s="9"/>
      <c r="O56" s="60"/>
    </row>
    <row r="57" spans="3:15" ht="12.75">
      <c r="C57" s="9"/>
      <c r="O57" s="60"/>
    </row>
    <row r="58" spans="3:15" ht="12.75">
      <c r="C58" s="9"/>
      <c r="O58" s="60"/>
    </row>
    <row r="59" spans="3:15" ht="12.75">
      <c r="C59" s="9"/>
      <c r="O59" s="60"/>
    </row>
    <row r="60" spans="3:15" ht="12.75">
      <c r="C60" s="9"/>
      <c r="O60" s="60"/>
    </row>
    <row r="61" spans="3:15" ht="12.75">
      <c r="C61" s="9"/>
      <c r="O61" s="60"/>
    </row>
    <row r="62" spans="3:15" ht="12.75">
      <c r="C62" s="9"/>
      <c r="O62" s="60"/>
    </row>
    <row r="63" spans="3:15" ht="12.75">
      <c r="C63" s="9"/>
      <c r="O63" s="60"/>
    </row>
    <row r="64" spans="7:19" ht="28.5">
      <c r="G64" s="76" t="s">
        <v>31</v>
      </c>
      <c r="S64" s="61" t="s">
        <v>31</v>
      </c>
    </row>
    <row r="65" spans="7:19" ht="12.75">
      <c r="G65" s="2" t="s">
        <v>32</v>
      </c>
      <c r="S65" s="62" t="s">
        <v>32</v>
      </c>
    </row>
    <row r="66" spans="7:19" ht="12.75">
      <c r="G66" s="2" t="s">
        <v>33</v>
      </c>
      <c r="S66" s="62" t="s">
        <v>33</v>
      </c>
    </row>
    <row r="67" spans="2:23" ht="13.5" thickBot="1">
      <c r="B67" s="12" t="s">
        <v>43</v>
      </c>
      <c r="K67" s="3" t="s">
        <v>62</v>
      </c>
      <c r="N67" s="58" t="s">
        <v>43</v>
      </c>
      <c r="W67" s="60" t="s">
        <v>62</v>
      </c>
    </row>
    <row r="68" spans="4:20" ht="13.5" thickBot="1">
      <c r="D68" s="6"/>
      <c r="E68" s="10"/>
      <c r="F68" s="5"/>
      <c r="G68" s="4" t="s">
        <v>15</v>
      </c>
      <c r="H68" s="5"/>
      <c r="I68" s="7"/>
      <c r="J68" s="8"/>
      <c r="P68" s="59"/>
      <c r="Q68" s="60"/>
      <c r="R68" s="63"/>
      <c r="S68" s="64" t="s">
        <v>61</v>
      </c>
      <c r="T68" s="63"/>
    </row>
    <row r="69" spans="4:19" ht="13.5" thickBot="1">
      <c r="D69" s="1"/>
      <c r="E69" s="9"/>
      <c r="F69"/>
      <c r="G69"/>
      <c r="H69"/>
      <c r="P69" s="59"/>
      <c r="Q69" s="60"/>
      <c r="S69" s="62" t="s">
        <v>84</v>
      </c>
    </row>
    <row r="70" spans="2:22" ht="13.5" thickBot="1">
      <c r="B70" s="12" t="s">
        <v>34</v>
      </c>
      <c r="G70" s="13" t="s">
        <v>39</v>
      </c>
      <c r="H70" s="14">
        <f>$AD$4</f>
        <v>24</v>
      </c>
      <c r="I70" s="15">
        <f>$AD$5</f>
        <v>-0.12</v>
      </c>
      <c r="J70" s="16" t="s">
        <v>41</v>
      </c>
      <c r="N70" s="58" t="s">
        <v>34</v>
      </c>
      <c r="S70" s="60" t="s">
        <v>39</v>
      </c>
      <c r="T70" s="65">
        <f>$AE$4</f>
        <v>30</v>
      </c>
      <c r="U70" s="66">
        <f>$AE$5</f>
        <v>-0.08</v>
      </c>
      <c r="V70" s="59" t="s">
        <v>41</v>
      </c>
    </row>
    <row r="71" spans="4:22" ht="13.5" thickBot="1">
      <c r="D71" s="1"/>
      <c r="G71" s="13" t="s">
        <v>40</v>
      </c>
      <c r="H71" s="14">
        <f>$AD$6</f>
        <v>-7.5</v>
      </c>
      <c r="I71" s="17">
        <f>$AD$7</f>
        <v>0.164</v>
      </c>
      <c r="J71" s="16" t="s">
        <v>42</v>
      </c>
      <c r="P71" s="59"/>
      <c r="S71" s="60" t="s">
        <v>40</v>
      </c>
      <c r="T71" s="65">
        <f>$AE$6</f>
        <v>-6</v>
      </c>
      <c r="U71" s="67">
        <f>$AE$7</f>
        <v>0.12</v>
      </c>
      <c r="V71" s="59" t="s">
        <v>42</v>
      </c>
    </row>
    <row r="72" spans="2:21" ht="13.5" thickBot="1">
      <c r="B72" s="12" t="s">
        <v>63</v>
      </c>
      <c r="D72" s="1"/>
      <c r="G72" s="28"/>
      <c r="H72" s="29"/>
      <c r="I72" s="30"/>
      <c r="J72" s="31"/>
      <c r="N72" s="58" t="s">
        <v>63</v>
      </c>
      <c r="P72" s="59"/>
      <c r="S72" s="60"/>
      <c r="T72" s="65"/>
      <c r="U72" s="67"/>
    </row>
    <row r="73" spans="3:18" ht="13.5" thickBot="1">
      <c r="C73" s="13" t="s">
        <v>35</v>
      </c>
      <c r="D73" s="14">
        <f>H70/-I70</f>
        <v>200</v>
      </c>
      <c r="E73" s="14">
        <f>1/I70</f>
        <v>-8.333333333333334</v>
      </c>
      <c r="F73" s="16" t="s">
        <v>36</v>
      </c>
      <c r="O73" s="60" t="s">
        <v>35</v>
      </c>
      <c r="P73" s="65">
        <f>T70/-U70</f>
        <v>375</v>
      </c>
      <c r="Q73" s="65">
        <f>1/U70</f>
        <v>-12.5</v>
      </c>
      <c r="R73" s="59" t="s">
        <v>36</v>
      </c>
    </row>
    <row r="74" spans="3:23" ht="13.5" thickBot="1">
      <c r="C74" s="13" t="s">
        <v>37</v>
      </c>
      <c r="D74" s="14">
        <f>-H71/I71</f>
        <v>45.731707317073166</v>
      </c>
      <c r="E74" s="18">
        <f>1/I71</f>
        <v>6.097560975609756</v>
      </c>
      <c r="F74" s="16" t="s">
        <v>38</v>
      </c>
      <c r="J74" s="9" t="s">
        <v>64</v>
      </c>
      <c r="K74" s="32">
        <f>$AD$14</f>
        <v>85</v>
      </c>
      <c r="O74" s="60" t="s">
        <v>37</v>
      </c>
      <c r="P74" s="65">
        <f>-T71/U71</f>
        <v>50</v>
      </c>
      <c r="Q74" s="68">
        <f>1/U71</f>
        <v>8.333333333333334</v>
      </c>
      <c r="R74" s="59" t="s">
        <v>38</v>
      </c>
      <c r="V74" s="60" t="s">
        <v>64</v>
      </c>
      <c r="W74" s="69">
        <f>$AE$14</f>
        <v>80</v>
      </c>
    </row>
    <row r="75" spans="4:16" ht="13.5" thickBot="1">
      <c r="D75" s="1"/>
      <c r="P75" s="59"/>
    </row>
    <row r="76" spans="2:21" ht="13.5" thickBot="1">
      <c r="B76" s="12">
        <v>1</v>
      </c>
      <c r="C76" s="1" t="s">
        <v>44</v>
      </c>
      <c r="D76" s="11"/>
      <c r="H76" s="13" t="s">
        <v>45</v>
      </c>
      <c r="I76" s="20">
        <f>(D73-D74)/(-E73+E74)</f>
        <v>10.690140845070422</v>
      </c>
      <c r="N76" s="58">
        <v>1</v>
      </c>
      <c r="O76" s="59" t="s">
        <v>44</v>
      </c>
      <c r="T76" s="60" t="s">
        <v>45</v>
      </c>
      <c r="U76" s="65">
        <f>(P73-P74)/(-Q73+Q74)</f>
        <v>15.599999999999998</v>
      </c>
    </row>
    <row r="77" spans="4:21" ht="13.5" thickBot="1">
      <c r="D77" s="11"/>
      <c r="H77" s="13" t="s">
        <v>46</v>
      </c>
      <c r="I77" s="21">
        <f>D73+E73*I76</f>
        <v>110.91549295774648</v>
      </c>
      <c r="T77" s="60" t="s">
        <v>46</v>
      </c>
      <c r="U77" s="69">
        <f>P73+Q73*U76</f>
        <v>180.00000000000003</v>
      </c>
    </row>
    <row r="78" spans="4:21" ht="13.5" thickBot="1">
      <c r="D78" s="11"/>
      <c r="H78" s="13" t="s">
        <v>47</v>
      </c>
      <c r="I78" s="21">
        <f>I76*I77</f>
        <v>1185.7022416187265</v>
      </c>
      <c r="T78" s="60" t="s">
        <v>47</v>
      </c>
      <c r="U78" s="69">
        <f>U76*U77</f>
        <v>2808</v>
      </c>
    </row>
    <row r="79" spans="2:15" ht="13.5" thickBot="1">
      <c r="B79" s="12">
        <v>2</v>
      </c>
      <c r="C79" s="1" t="s">
        <v>65</v>
      </c>
      <c r="D79" s="11"/>
      <c r="N79" s="58">
        <v>2</v>
      </c>
      <c r="O79" s="59" t="s">
        <v>65</v>
      </c>
    </row>
    <row r="80" spans="8:21" ht="13.5" thickBot="1">
      <c r="H80" s="13" t="s">
        <v>39</v>
      </c>
      <c r="I80" s="20">
        <f>($K$11-D73)/E73</f>
        <v>13.799999999999999</v>
      </c>
      <c r="T80" s="60" t="s">
        <v>39</v>
      </c>
      <c r="U80" s="65">
        <f>($W$74-P73)/Q73</f>
        <v>23.6</v>
      </c>
    </row>
    <row r="81" spans="8:21" ht="13.5" thickBot="1">
      <c r="H81" s="13" t="s">
        <v>40</v>
      </c>
      <c r="I81" s="20">
        <f>($K$11-D74)/E74</f>
        <v>6.44</v>
      </c>
      <c r="T81" s="60" t="s">
        <v>40</v>
      </c>
      <c r="U81" s="65">
        <f>($K$11-P74)/Q74</f>
        <v>4.199999999999999</v>
      </c>
    </row>
    <row r="82" spans="8:22" ht="13.5" thickBot="1">
      <c r="H82" s="13" t="s">
        <v>48</v>
      </c>
      <c r="I82" s="20">
        <f>I81-I80</f>
        <v>-7.3599999999999985</v>
      </c>
      <c r="J82" s="1" t="str">
        <f>IF(I82&lt;0,"imports","exports")</f>
        <v>imports</v>
      </c>
      <c r="T82" s="60" t="s">
        <v>48</v>
      </c>
      <c r="U82" s="65">
        <f>U81-U80</f>
        <v>-19.400000000000002</v>
      </c>
      <c r="V82" s="59" t="str">
        <f>IF(U82&lt;0,"imports","exports")</f>
        <v>imports</v>
      </c>
    </row>
    <row r="83" spans="2:21" ht="12.75">
      <c r="B83" s="12">
        <v>3</v>
      </c>
      <c r="H83" s="9" t="s">
        <v>16</v>
      </c>
      <c r="I83" s="57">
        <f>$AD$18</f>
        <v>15</v>
      </c>
      <c r="N83" s="58">
        <v>3</v>
      </c>
      <c r="T83" s="60" t="s">
        <v>16</v>
      </c>
      <c r="U83" s="70">
        <f>$AE$18</f>
        <v>25</v>
      </c>
    </row>
    <row r="84" spans="3:19" ht="13.5" thickBot="1">
      <c r="C84" s="1" t="s">
        <v>17</v>
      </c>
      <c r="D84" s="1"/>
      <c r="G84" s="1" t="s">
        <v>18</v>
      </c>
      <c r="O84" s="59" t="s">
        <v>17</v>
      </c>
      <c r="P84" s="59"/>
      <c r="S84" s="59" t="s">
        <v>18</v>
      </c>
    </row>
    <row r="85" spans="3:21" ht="13.5" thickBot="1">
      <c r="C85" s="13" t="s">
        <v>35</v>
      </c>
      <c r="D85" s="14">
        <f>D73</f>
        <v>200</v>
      </c>
      <c r="E85" s="14">
        <f>E73</f>
        <v>-8.333333333333334</v>
      </c>
      <c r="F85" s="16" t="s">
        <v>36</v>
      </c>
      <c r="H85" s="13" t="s">
        <v>45</v>
      </c>
      <c r="I85" s="20">
        <f>(D85-D86)/(-E85+E86)</f>
        <v>11.729577464788733</v>
      </c>
      <c r="O85" s="60" t="s">
        <v>35</v>
      </c>
      <c r="P85" s="65">
        <f>P73</f>
        <v>375</v>
      </c>
      <c r="Q85" s="65">
        <f>Q73</f>
        <v>-12.5</v>
      </c>
      <c r="R85" s="59" t="s">
        <v>36</v>
      </c>
      <c r="T85" s="60" t="s">
        <v>45</v>
      </c>
      <c r="U85" s="65">
        <f>(P85-P86)/(-Q85+Q86)</f>
        <v>16.799999999999997</v>
      </c>
    </row>
    <row r="86" spans="3:21" ht="13.5" thickBot="1">
      <c r="C86" s="13" t="s">
        <v>37</v>
      </c>
      <c r="D86" s="14">
        <f>D74-I83</f>
        <v>30.731707317073166</v>
      </c>
      <c r="E86" s="18">
        <f>E74</f>
        <v>6.097560975609756</v>
      </c>
      <c r="F86" s="16" t="s">
        <v>38</v>
      </c>
      <c r="H86" s="13" t="s">
        <v>46</v>
      </c>
      <c r="I86" s="21">
        <f>D85+E85*I85</f>
        <v>102.25352112676056</v>
      </c>
      <c r="O86" s="60" t="s">
        <v>37</v>
      </c>
      <c r="P86" s="65">
        <f>P74-U83</f>
        <v>25</v>
      </c>
      <c r="Q86" s="68">
        <f>Q74</f>
        <v>8.333333333333334</v>
      </c>
      <c r="R86" s="59" t="s">
        <v>38</v>
      </c>
      <c r="T86" s="60" t="s">
        <v>46</v>
      </c>
      <c r="U86" s="69">
        <f>P85+Q85*U85</f>
        <v>165.00000000000003</v>
      </c>
    </row>
    <row r="87" spans="4:21" ht="13.5" thickBot="1">
      <c r="D87" s="1"/>
      <c r="H87" s="13" t="s">
        <v>47</v>
      </c>
      <c r="I87" s="21">
        <f>I85*I86</f>
        <v>1199.3905971037493</v>
      </c>
      <c r="P87" s="59"/>
      <c r="T87" s="60" t="s">
        <v>47</v>
      </c>
      <c r="U87" s="69">
        <f>U85*U86</f>
        <v>2772</v>
      </c>
    </row>
    <row r="88" spans="3:16" ht="13.5" thickBot="1">
      <c r="C88" s="1" t="s">
        <v>19</v>
      </c>
      <c r="D88" s="1"/>
      <c r="O88" s="59" t="s">
        <v>19</v>
      </c>
      <c r="P88" s="59"/>
    </row>
    <row r="89" spans="4:21" ht="13.5" thickBot="1">
      <c r="D89" s="1"/>
      <c r="H89" s="13" t="s">
        <v>39</v>
      </c>
      <c r="I89" s="24">
        <f>(K74-D85)/E85</f>
        <v>13.799999999999999</v>
      </c>
      <c r="K89"/>
      <c r="P89" s="59"/>
      <c r="T89" s="60" t="s">
        <v>39</v>
      </c>
      <c r="U89" s="71">
        <f>(W74-P85)/Q85</f>
        <v>23.6</v>
      </c>
    </row>
    <row r="90" spans="4:21" ht="13.5" thickBot="1">
      <c r="D90" s="1"/>
      <c r="H90" s="13" t="s">
        <v>40</v>
      </c>
      <c r="I90" s="20">
        <f>(K74-D86)/E86</f>
        <v>8.9</v>
      </c>
      <c r="P90" s="59"/>
      <c r="T90" s="60" t="s">
        <v>40</v>
      </c>
      <c r="U90" s="65">
        <f>(W74-P86)/Q86</f>
        <v>6.6</v>
      </c>
    </row>
    <row r="91" spans="3:22" ht="13.5" thickBot="1">
      <c r="C91" s="9"/>
      <c r="D91" s="23"/>
      <c r="H91" s="13" t="s">
        <v>48</v>
      </c>
      <c r="I91" s="20">
        <f>I90-I89</f>
        <v>-4.899999999999999</v>
      </c>
      <c r="J91" s="1" t="s">
        <v>51</v>
      </c>
      <c r="O91" s="60"/>
      <c r="P91" s="72"/>
      <c r="T91" s="60" t="s">
        <v>48</v>
      </c>
      <c r="U91" s="65">
        <f>U90-U89</f>
        <v>-17</v>
      </c>
      <c r="V91" s="59" t="s">
        <v>51</v>
      </c>
    </row>
    <row r="92" spans="2:15" ht="13.5" thickBot="1">
      <c r="B92" s="12">
        <v>4</v>
      </c>
      <c r="C92" s="1" t="s">
        <v>20</v>
      </c>
      <c r="N92" s="58">
        <v>4</v>
      </c>
      <c r="O92" s="59" t="s">
        <v>20</v>
      </c>
    </row>
    <row r="93" spans="3:19" ht="13.5" thickBot="1">
      <c r="C93" s="9" t="s">
        <v>49</v>
      </c>
      <c r="D93" s="13"/>
      <c r="E93" s="54" t="s">
        <v>52</v>
      </c>
      <c r="F93" s="20">
        <f>ABS(I82)</f>
        <v>7.3599999999999985</v>
      </c>
      <c r="G93" s="1" t="s">
        <v>53</v>
      </c>
      <c r="O93" s="60" t="s">
        <v>49</v>
      </c>
      <c r="Q93" s="60" t="s">
        <v>52</v>
      </c>
      <c r="R93" s="65">
        <f>ABS(U82)</f>
        <v>19.400000000000002</v>
      </c>
      <c r="S93" s="59" t="s">
        <v>53</v>
      </c>
    </row>
    <row r="94" spans="3:19" ht="13.5" thickBot="1">
      <c r="C94" s="9" t="s">
        <v>50</v>
      </c>
      <c r="D94" s="13"/>
      <c r="E94" s="54" t="s">
        <v>24</v>
      </c>
      <c r="F94" s="20">
        <f>ABS(I91)</f>
        <v>4.899999999999999</v>
      </c>
      <c r="G94" s="1" t="s">
        <v>53</v>
      </c>
      <c r="O94" s="60" t="s">
        <v>50</v>
      </c>
      <c r="Q94" s="60" t="s">
        <v>24</v>
      </c>
      <c r="R94" s="65">
        <f>ABS(U91)</f>
        <v>17</v>
      </c>
      <c r="S94" s="59" t="s">
        <v>53</v>
      </c>
    </row>
    <row r="95" spans="3:18" ht="13.5" thickBot="1">
      <c r="C95" s="9" t="s">
        <v>56</v>
      </c>
      <c r="D95" s="13"/>
      <c r="E95" s="54" t="s">
        <v>54</v>
      </c>
      <c r="F95" s="20">
        <f>F93-F94</f>
        <v>2.46</v>
      </c>
      <c r="O95" s="60" t="s">
        <v>56</v>
      </c>
      <c r="Q95" s="60" t="s">
        <v>54</v>
      </c>
      <c r="R95" s="65">
        <f>R93-R94</f>
        <v>2.400000000000002</v>
      </c>
    </row>
    <row r="96" spans="3:19" ht="13.5" thickBot="1">
      <c r="C96" s="9" t="s">
        <v>57</v>
      </c>
      <c r="D96" s="13"/>
      <c r="E96" s="54" t="s">
        <v>55</v>
      </c>
      <c r="F96" s="25">
        <f>F95/F93</f>
        <v>0.33423913043478265</v>
      </c>
      <c r="G96" s="1" t="s">
        <v>58</v>
      </c>
      <c r="O96" s="60" t="s">
        <v>57</v>
      </c>
      <c r="Q96" s="60" t="s">
        <v>55</v>
      </c>
      <c r="R96" s="73">
        <f>R95/R93</f>
        <v>0.12371134020618567</v>
      </c>
      <c r="S96" s="59" t="s">
        <v>58</v>
      </c>
    </row>
    <row r="97" spans="2:15" ht="12.75">
      <c r="B97" s="12">
        <v>5</v>
      </c>
      <c r="C97" s="1" t="s">
        <v>23</v>
      </c>
      <c r="N97" s="58">
        <v>5</v>
      </c>
      <c r="O97" s="59" t="s">
        <v>23</v>
      </c>
    </row>
    <row r="99" spans="4:22" ht="12.75">
      <c r="D99" s="22" t="s">
        <v>41</v>
      </c>
      <c r="E99" s="22" t="s">
        <v>42</v>
      </c>
      <c r="F99" s="22" t="s">
        <v>59</v>
      </c>
      <c r="G99" s="22" t="s">
        <v>60</v>
      </c>
      <c r="H99" s="22" t="s">
        <v>27</v>
      </c>
      <c r="I99" s="22" t="s">
        <v>25</v>
      </c>
      <c r="J99" s="26">
        <f>(D73/I76)^0.25</f>
        <v>2.079752438230804</v>
      </c>
      <c r="P99" s="62" t="s">
        <v>41</v>
      </c>
      <c r="Q99" s="62" t="s">
        <v>42</v>
      </c>
      <c r="R99" s="62" t="s">
        <v>59</v>
      </c>
      <c r="S99" s="62" t="s">
        <v>60</v>
      </c>
      <c r="T99" s="62" t="s">
        <v>27</v>
      </c>
      <c r="U99" s="62" t="s">
        <v>25</v>
      </c>
      <c r="V99" s="65">
        <f>(P73/U76)^0.25</f>
        <v>2.2142500713457367</v>
      </c>
    </row>
    <row r="100" spans="3:21" ht="12.75">
      <c r="C100" s="26">
        <v>1</v>
      </c>
      <c r="D100" s="27">
        <f>$D$73+$E$73*C100</f>
        <v>191.66666666666666</v>
      </c>
      <c r="E100" s="19">
        <f>$D$74+$E$74*C100</f>
        <v>51.829268292682926</v>
      </c>
      <c r="F100" s="19">
        <f>$D$86+$E$86*C100</f>
        <v>36.829268292682926</v>
      </c>
      <c r="G100" s="19">
        <f>$K$74</f>
        <v>85</v>
      </c>
      <c r="H100" s="19">
        <f>$I$77</f>
        <v>110.91549295774648</v>
      </c>
      <c r="I100" s="19">
        <f>$I$86</f>
        <v>102.25352112676056</v>
      </c>
      <c r="O100" s="65">
        <v>1</v>
      </c>
      <c r="P100" s="74">
        <f>$P$73+$Q$73*O100</f>
        <v>362.5</v>
      </c>
      <c r="Q100" s="69">
        <f>$P$74+$Q$74*O100</f>
        <v>58.333333333333336</v>
      </c>
      <c r="R100" s="69">
        <f>$P$86+$Q$86*O100</f>
        <v>33.333333333333336</v>
      </c>
      <c r="S100" s="69">
        <f>$W$74</f>
        <v>80</v>
      </c>
      <c r="T100" s="69">
        <f>$U$77</f>
        <v>180.00000000000003</v>
      </c>
      <c r="U100" s="69">
        <f>$U$86</f>
        <v>165.00000000000003</v>
      </c>
    </row>
    <row r="101" spans="3:21" ht="12.75">
      <c r="C101" s="26">
        <f aca="true" t="shared" si="0" ref="C101:C112">C100+$J$99</f>
        <v>3.079752438230804</v>
      </c>
      <c r="D101" s="27">
        <f>IF(($D$73+$E$73*C101)&lt;0,0,$D$73+$E$73*C101)</f>
        <v>174.33539634807664</v>
      </c>
      <c r="E101" s="19">
        <f>$D$74+$E$74*C101</f>
        <v>64.51068559896831</v>
      </c>
      <c r="F101" s="19">
        <f aca="true" t="shared" si="1" ref="F101:F112">$D$86+$E$86*C101</f>
        <v>49.51068559896831</v>
      </c>
      <c r="G101" s="19">
        <f>$K$74</f>
        <v>85</v>
      </c>
      <c r="H101" s="19">
        <f aca="true" t="shared" si="2" ref="H101:H112">$I$77</f>
        <v>110.91549295774648</v>
      </c>
      <c r="I101" s="19">
        <f aca="true" t="shared" si="3" ref="I101:I112">$I$86</f>
        <v>102.25352112676056</v>
      </c>
      <c r="O101" s="65">
        <f>O100+$V$99</f>
        <v>3.2142500713457367</v>
      </c>
      <c r="P101" s="74">
        <f>IF(($P$73+$Q$73*O101)&lt;0,0,$P$73+$Q$73*O101)</f>
        <v>334.8218741081783</v>
      </c>
      <c r="Q101" s="69">
        <f aca="true" t="shared" si="4" ref="Q101:Q112">$P$74+$Q$74*O101</f>
        <v>76.78541726121448</v>
      </c>
      <c r="R101" s="69">
        <f aca="true" t="shared" si="5" ref="R101:R112">$P$86+$Q$86*O101</f>
        <v>51.78541726121448</v>
      </c>
      <c r="S101" s="69">
        <f aca="true" t="shared" si="6" ref="S101:S112">$W$11</f>
        <v>80</v>
      </c>
      <c r="T101" s="69">
        <f aca="true" t="shared" si="7" ref="T101:T112">$U$77</f>
        <v>180.00000000000003</v>
      </c>
      <c r="U101" s="69">
        <f aca="true" t="shared" si="8" ref="U101:U112">$U$86</f>
        <v>165.00000000000003</v>
      </c>
    </row>
    <row r="102" spans="3:21" ht="12.75">
      <c r="C102" s="26">
        <f t="shared" si="0"/>
        <v>5.159504876461608</v>
      </c>
      <c r="D102" s="27">
        <f aca="true" t="shared" si="9" ref="D102:D112">IF(($D$73+$E$73*C102)&lt;0,0,$D$73+$E$73*C102)</f>
        <v>157.0041260294866</v>
      </c>
      <c r="E102" s="19">
        <f aca="true" t="shared" si="10" ref="E102:E112">$D$74+$E$74*C102</f>
        <v>77.1921029052537</v>
      </c>
      <c r="F102" s="19">
        <f t="shared" si="1"/>
        <v>62.192102905253705</v>
      </c>
      <c r="G102" s="19">
        <f aca="true" t="shared" si="11" ref="G102:G112">$K$74</f>
        <v>85</v>
      </c>
      <c r="H102" s="19">
        <f t="shared" si="2"/>
        <v>110.91549295774648</v>
      </c>
      <c r="I102" s="19">
        <f t="shared" si="3"/>
        <v>102.25352112676056</v>
      </c>
      <c r="O102" s="65">
        <f aca="true" t="shared" si="12" ref="O102:O112">O101+$V$99</f>
        <v>5.428500142691473</v>
      </c>
      <c r="P102" s="74">
        <f aca="true" t="shared" si="13" ref="P102:P112">IF(($P$73+$Q$73*O102)&lt;0,0,$P$73+$Q$73*O102)</f>
        <v>307.1437482163566</v>
      </c>
      <c r="Q102" s="69">
        <f t="shared" si="4"/>
        <v>95.23750118909561</v>
      </c>
      <c r="R102" s="69">
        <f t="shared" si="5"/>
        <v>70.23750118909561</v>
      </c>
      <c r="S102" s="69">
        <f t="shared" si="6"/>
        <v>80</v>
      </c>
      <c r="T102" s="69">
        <f t="shared" si="7"/>
        <v>180.00000000000003</v>
      </c>
      <c r="U102" s="69">
        <f t="shared" si="8"/>
        <v>165.00000000000003</v>
      </c>
    </row>
    <row r="103" spans="3:21" ht="12.75">
      <c r="C103" s="26">
        <f t="shared" si="0"/>
        <v>7.239257314692413</v>
      </c>
      <c r="D103" s="27">
        <f t="shared" si="9"/>
        <v>139.67285571089656</v>
      </c>
      <c r="E103" s="19">
        <f t="shared" si="10"/>
        <v>89.8735202115391</v>
      </c>
      <c r="F103" s="19">
        <f t="shared" si="1"/>
        <v>74.8735202115391</v>
      </c>
      <c r="G103" s="19">
        <f t="shared" si="11"/>
        <v>85</v>
      </c>
      <c r="H103" s="19">
        <f t="shared" si="2"/>
        <v>110.91549295774648</v>
      </c>
      <c r="I103" s="19">
        <f t="shared" si="3"/>
        <v>102.25352112676056</v>
      </c>
      <c r="O103" s="65">
        <f t="shared" si="12"/>
        <v>7.6427502140372106</v>
      </c>
      <c r="P103" s="74">
        <f t="shared" si="13"/>
        <v>279.4656223245349</v>
      </c>
      <c r="Q103" s="69">
        <f t="shared" si="4"/>
        <v>113.68958511697676</v>
      </c>
      <c r="R103" s="69">
        <f t="shared" si="5"/>
        <v>88.68958511697676</v>
      </c>
      <c r="S103" s="69">
        <f t="shared" si="6"/>
        <v>80</v>
      </c>
      <c r="T103" s="69">
        <f t="shared" si="7"/>
        <v>180.00000000000003</v>
      </c>
      <c r="U103" s="69">
        <f t="shared" si="8"/>
        <v>165.00000000000003</v>
      </c>
    </row>
    <row r="104" spans="3:21" ht="12.75">
      <c r="C104" s="26">
        <f t="shared" si="0"/>
        <v>9.319009752923217</v>
      </c>
      <c r="D104" s="27">
        <f t="shared" si="9"/>
        <v>122.34158539230653</v>
      </c>
      <c r="E104" s="19">
        <f t="shared" si="10"/>
        <v>102.55493751782448</v>
      </c>
      <c r="F104" s="19">
        <f t="shared" si="1"/>
        <v>87.55493751782448</v>
      </c>
      <c r="G104" s="19">
        <f t="shared" si="11"/>
        <v>85</v>
      </c>
      <c r="H104" s="19">
        <f t="shared" si="2"/>
        <v>110.91549295774648</v>
      </c>
      <c r="I104" s="19">
        <f t="shared" si="3"/>
        <v>102.25352112676056</v>
      </c>
      <c r="O104" s="65">
        <f t="shared" si="12"/>
        <v>9.857000285382947</v>
      </c>
      <c r="P104" s="74">
        <f t="shared" si="13"/>
        <v>251.78749643271317</v>
      </c>
      <c r="Q104" s="69">
        <f t="shared" si="4"/>
        <v>132.1416690448579</v>
      </c>
      <c r="R104" s="69">
        <f t="shared" si="5"/>
        <v>107.14166904485789</v>
      </c>
      <c r="S104" s="69">
        <f t="shared" si="6"/>
        <v>80</v>
      </c>
      <c r="T104" s="69">
        <f t="shared" si="7"/>
        <v>180.00000000000003</v>
      </c>
      <c r="U104" s="69">
        <f t="shared" si="8"/>
        <v>165.00000000000003</v>
      </c>
    </row>
    <row r="105" spans="3:21" ht="12.75">
      <c r="C105" s="26">
        <f t="shared" si="0"/>
        <v>11.39876219115402</v>
      </c>
      <c r="D105" s="27">
        <f t="shared" si="9"/>
        <v>105.0103150737165</v>
      </c>
      <c r="E105" s="19">
        <f t="shared" si="10"/>
        <v>115.23635482410987</v>
      </c>
      <c r="F105" s="19">
        <f t="shared" si="1"/>
        <v>100.23635482410987</v>
      </c>
      <c r="G105" s="19">
        <f t="shared" si="11"/>
        <v>85</v>
      </c>
      <c r="H105" s="19">
        <f t="shared" si="2"/>
        <v>110.91549295774648</v>
      </c>
      <c r="I105" s="19">
        <f t="shared" si="3"/>
        <v>102.25352112676056</v>
      </c>
      <c r="O105" s="65">
        <f t="shared" si="12"/>
        <v>12.071250356728683</v>
      </c>
      <c r="P105" s="74">
        <f t="shared" si="13"/>
        <v>224.10937054089146</v>
      </c>
      <c r="Q105" s="69">
        <f t="shared" si="4"/>
        <v>150.59375297273903</v>
      </c>
      <c r="R105" s="69">
        <f t="shared" si="5"/>
        <v>125.59375297273904</v>
      </c>
      <c r="S105" s="69">
        <f t="shared" si="6"/>
        <v>80</v>
      </c>
      <c r="T105" s="69">
        <f t="shared" si="7"/>
        <v>180.00000000000003</v>
      </c>
      <c r="U105" s="69">
        <f t="shared" si="8"/>
        <v>165.00000000000003</v>
      </c>
    </row>
    <row r="106" spans="3:21" ht="12.75">
      <c r="C106" s="26">
        <f t="shared" si="0"/>
        <v>13.478514629384824</v>
      </c>
      <c r="D106" s="27">
        <f t="shared" si="9"/>
        <v>87.67904475512645</v>
      </c>
      <c r="E106" s="19">
        <f t="shared" si="10"/>
        <v>127.91777213039526</v>
      </c>
      <c r="F106" s="19">
        <f t="shared" si="1"/>
        <v>112.91777213039526</v>
      </c>
      <c r="G106" s="19">
        <f t="shared" si="11"/>
        <v>85</v>
      </c>
      <c r="H106" s="19">
        <f t="shared" si="2"/>
        <v>110.91549295774648</v>
      </c>
      <c r="I106" s="19">
        <f t="shared" si="3"/>
        <v>102.25352112676056</v>
      </c>
      <c r="O106" s="65">
        <f t="shared" si="12"/>
        <v>14.28550042807442</v>
      </c>
      <c r="P106" s="74">
        <f t="shared" si="13"/>
        <v>196.43124464906975</v>
      </c>
      <c r="Q106" s="69">
        <f t="shared" si="4"/>
        <v>169.04583690062017</v>
      </c>
      <c r="R106" s="69">
        <f t="shared" si="5"/>
        <v>144.04583690062017</v>
      </c>
      <c r="S106" s="69">
        <f t="shared" si="6"/>
        <v>80</v>
      </c>
      <c r="T106" s="69">
        <f t="shared" si="7"/>
        <v>180.00000000000003</v>
      </c>
      <c r="U106" s="69">
        <f t="shared" si="8"/>
        <v>165.00000000000003</v>
      </c>
    </row>
    <row r="107" spans="3:21" ht="12.75">
      <c r="C107" s="26">
        <f t="shared" si="0"/>
        <v>15.558267067615628</v>
      </c>
      <c r="D107" s="27">
        <f t="shared" si="9"/>
        <v>70.34777443653644</v>
      </c>
      <c r="E107" s="19">
        <f t="shared" si="10"/>
        <v>140.59918943668066</v>
      </c>
      <c r="F107" s="19">
        <f t="shared" si="1"/>
        <v>125.59918943668066</v>
      </c>
      <c r="G107" s="19">
        <f t="shared" si="11"/>
        <v>85</v>
      </c>
      <c r="H107" s="19">
        <f t="shared" si="2"/>
        <v>110.91549295774648</v>
      </c>
      <c r="I107" s="19">
        <f t="shared" si="3"/>
        <v>102.25352112676056</v>
      </c>
      <c r="O107" s="65">
        <f t="shared" si="12"/>
        <v>16.499750499420156</v>
      </c>
      <c r="P107" s="74">
        <f t="shared" si="13"/>
        <v>168.75311875724805</v>
      </c>
      <c r="Q107" s="69">
        <f t="shared" si="4"/>
        <v>187.4979208285013</v>
      </c>
      <c r="R107" s="69">
        <f t="shared" si="5"/>
        <v>162.4979208285013</v>
      </c>
      <c r="S107" s="69">
        <f t="shared" si="6"/>
        <v>80</v>
      </c>
      <c r="T107" s="69">
        <f t="shared" si="7"/>
        <v>180.00000000000003</v>
      </c>
      <c r="U107" s="69">
        <f t="shared" si="8"/>
        <v>165.00000000000003</v>
      </c>
    </row>
    <row r="108" spans="3:21" ht="12.75">
      <c r="C108" s="26">
        <f t="shared" si="0"/>
        <v>17.638019505846433</v>
      </c>
      <c r="D108" s="27">
        <f t="shared" si="9"/>
        <v>53.01650411794637</v>
      </c>
      <c r="E108" s="19">
        <f t="shared" si="10"/>
        <v>153.28060674296606</v>
      </c>
      <c r="F108" s="19">
        <f t="shared" si="1"/>
        <v>138.28060674296606</v>
      </c>
      <c r="G108" s="19">
        <f t="shared" si="11"/>
        <v>85</v>
      </c>
      <c r="H108" s="19">
        <f t="shared" si="2"/>
        <v>110.91549295774648</v>
      </c>
      <c r="I108" s="19">
        <f t="shared" si="3"/>
        <v>102.25352112676056</v>
      </c>
      <c r="O108" s="65">
        <f t="shared" si="12"/>
        <v>18.714000570765894</v>
      </c>
      <c r="P108" s="74">
        <f t="shared" si="13"/>
        <v>141.07499286542634</v>
      </c>
      <c r="Q108" s="69">
        <f t="shared" si="4"/>
        <v>205.95000475638247</v>
      </c>
      <c r="R108" s="69">
        <f t="shared" si="5"/>
        <v>180.95000475638247</v>
      </c>
      <c r="S108" s="69">
        <f t="shared" si="6"/>
        <v>80</v>
      </c>
      <c r="T108" s="69">
        <f t="shared" si="7"/>
        <v>180.00000000000003</v>
      </c>
      <c r="U108" s="69">
        <f t="shared" si="8"/>
        <v>165.00000000000003</v>
      </c>
    </row>
    <row r="109" spans="3:21" ht="12.75">
      <c r="C109" s="26">
        <f t="shared" si="0"/>
        <v>19.71777194407724</v>
      </c>
      <c r="D109" s="27">
        <f t="shared" si="9"/>
        <v>35.685233799356325</v>
      </c>
      <c r="E109" s="19">
        <f t="shared" si="10"/>
        <v>165.96202404925145</v>
      </c>
      <c r="F109" s="19">
        <f t="shared" si="1"/>
        <v>150.96202404925145</v>
      </c>
      <c r="G109" s="19">
        <f t="shared" si="11"/>
        <v>85</v>
      </c>
      <c r="H109" s="19">
        <f t="shared" si="2"/>
        <v>110.91549295774648</v>
      </c>
      <c r="I109" s="19">
        <f t="shared" si="3"/>
        <v>102.25352112676056</v>
      </c>
      <c r="O109" s="65">
        <f t="shared" si="12"/>
        <v>20.92825064211163</v>
      </c>
      <c r="P109" s="74">
        <f t="shared" si="13"/>
        <v>113.39686697360463</v>
      </c>
      <c r="Q109" s="69">
        <f t="shared" si="4"/>
        <v>224.40208868426362</v>
      </c>
      <c r="R109" s="69">
        <f t="shared" si="5"/>
        <v>199.40208868426362</v>
      </c>
      <c r="S109" s="69">
        <f t="shared" si="6"/>
        <v>80</v>
      </c>
      <c r="T109" s="69">
        <f t="shared" si="7"/>
        <v>180.00000000000003</v>
      </c>
      <c r="U109" s="69">
        <f t="shared" si="8"/>
        <v>165.00000000000003</v>
      </c>
    </row>
    <row r="110" spans="3:21" ht="12.75">
      <c r="C110" s="26">
        <f t="shared" si="0"/>
        <v>21.797524382308044</v>
      </c>
      <c r="D110" s="27">
        <f t="shared" si="9"/>
        <v>18.353963480766282</v>
      </c>
      <c r="E110" s="19">
        <f t="shared" si="10"/>
        <v>178.64344135553685</v>
      </c>
      <c r="F110" s="19">
        <f t="shared" si="1"/>
        <v>163.64344135553685</v>
      </c>
      <c r="G110" s="19">
        <f t="shared" si="11"/>
        <v>85</v>
      </c>
      <c r="H110" s="19">
        <f t="shared" si="2"/>
        <v>110.91549295774648</v>
      </c>
      <c r="I110" s="19">
        <f t="shared" si="3"/>
        <v>102.25352112676056</v>
      </c>
      <c r="O110" s="65">
        <f t="shared" si="12"/>
        <v>23.14250071345737</v>
      </c>
      <c r="P110" s="74">
        <f t="shared" si="13"/>
        <v>85.71874108178287</v>
      </c>
      <c r="Q110" s="69">
        <f t="shared" si="4"/>
        <v>242.85417261214477</v>
      </c>
      <c r="R110" s="69">
        <f t="shared" si="5"/>
        <v>217.85417261214477</v>
      </c>
      <c r="S110" s="69">
        <f t="shared" si="6"/>
        <v>80</v>
      </c>
      <c r="T110" s="69">
        <f t="shared" si="7"/>
        <v>180.00000000000003</v>
      </c>
      <c r="U110" s="69">
        <f t="shared" si="8"/>
        <v>165.00000000000003</v>
      </c>
    </row>
    <row r="111" spans="3:21" ht="12.75">
      <c r="C111" s="26">
        <f t="shared" si="0"/>
        <v>23.87727682053885</v>
      </c>
      <c r="D111" s="27">
        <f t="shared" si="9"/>
        <v>1.022693162176239</v>
      </c>
      <c r="E111" s="19">
        <f t="shared" si="10"/>
        <v>191.32485866182225</v>
      </c>
      <c r="F111" s="19">
        <f t="shared" si="1"/>
        <v>176.32485866182225</v>
      </c>
      <c r="G111" s="19">
        <f t="shared" si="11"/>
        <v>85</v>
      </c>
      <c r="H111" s="19">
        <f t="shared" si="2"/>
        <v>110.91549295774648</v>
      </c>
      <c r="I111" s="19">
        <f t="shared" si="3"/>
        <v>102.25352112676056</v>
      </c>
      <c r="O111" s="65">
        <f t="shared" si="12"/>
        <v>25.356750784803108</v>
      </c>
      <c r="P111" s="74">
        <f t="shared" si="13"/>
        <v>58.04061518996116</v>
      </c>
      <c r="Q111" s="69">
        <f t="shared" si="4"/>
        <v>261.3062565400259</v>
      </c>
      <c r="R111" s="69">
        <f t="shared" si="5"/>
        <v>236.3062565400259</v>
      </c>
      <c r="S111" s="69">
        <f t="shared" si="6"/>
        <v>80</v>
      </c>
      <c r="T111" s="69">
        <f t="shared" si="7"/>
        <v>180.00000000000003</v>
      </c>
      <c r="U111" s="69">
        <f t="shared" si="8"/>
        <v>165.00000000000003</v>
      </c>
    </row>
    <row r="112" spans="3:21" ht="12.75">
      <c r="C112" s="26">
        <f t="shared" si="0"/>
        <v>25.957029258769655</v>
      </c>
      <c r="D112" s="27">
        <f t="shared" si="9"/>
        <v>0</v>
      </c>
      <c r="E112" s="19">
        <f t="shared" si="10"/>
        <v>204.00627596810764</v>
      </c>
      <c r="F112" s="19">
        <f t="shared" si="1"/>
        <v>189.00627596810764</v>
      </c>
      <c r="G112" s="19">
        <f t="shared" si="11"/>
        <v>85</v>
      </c>
      <c r="H112" s="19">
        <f t="shared" si="2"/>
        <v>110.91549295774648</v>
      </c>
      <c r="I112" s="19">
        <f t="shared" si="3"/>
        <v>102.25352112676056</v>
      </c>
      <c r="O112" s="65">
        <f t="shared" si="12"/>
        <v>27.571000856148846</v>
      </c>
      <c r="P112" s="74">
        <f t="shared" si="13"/>
        <v>30.36248929813945</v>
      </c>
      <c r="Q112" s="69">
        <f t="shared" si="4"/>
        <v>279.75834046790703</v>
      </c>
      <c r="R112" s="69">
        <f t="shared" si="5"/>
        <v>254.75834046790706</v>
      </c>
      <c r="S112" s="69">
        <f t="shared" si="6"/>
        <v>80</v>
      </c>
      <c r="T112" s="69">
        <f t="shared" si="7"/>
        <v>180.00000000000003</v>
      </c>
      <c r="U112" s="69">
        <f t="shared" si="8"/>
        <v>165.00000000000003</v>
      </c>
    </row>
    <row r="114" spans="3:20" ht="12.75">
      <c r="C114" s="9" t="s">
        <v>49</v>
      </c>
      <c r="D114" s="1"/>
      <c r="G114" s="9" t="s">
        <v>66</v>
      </c>
      <c r="H114" s="19">
        <f>(D73-D74)*I76*0.5</f>
        <v>824.5748883545174</v>
      </c>
      <c r="O114" s="60" t="s">
        <v>49</v>
      </c>
      <c r="P114" s="59"/>
      <c r="S114" s="60" t="s">
        <v>66</v>
      </c>
      <c r="T114" s="69">
        <f>(P73-P74)*U76*0.5</f>
        <v>2534.9999999999995</v>
      </c>
    </row>
    <row r="115" spans="3:20" ht="12.75">
      <c r="C115" s="9" t="s">
        <v>50</v>
      </c>
      <c r="D115" s="1"/>
      <c r="G115" s="9" t="s">
        <v>67</v>
      </c>
      <c r="H115" s="19">
        <f>H114+(I77-K74)*(-I82)*0.5</f>
        <v>919.9439024390244</v>
      </c>
      <c r="O115" s="60" t="s">
        <v>50</v>
      </c>
      <c r="P115" s="59"/>
      <c r="S115" s="60" t="s">
        <v>67</v>
      </c>
      <c r="T115" s="69">
        <f>T114+(U77-W74)*(-U82)*0.5</f>
        <v>3505</v>
      </c>
    </row>
    <row r="116" spans="3:20" ht="12.75">
      <c r="C116" s="9" t="s">
        <v>56</v>
      </c>
      <c r="D116" s="1"/>
      <c r="G116" s="9" t="s">
        <v>28</v>
      </c>
      <c r="H116" s="19">
        <f>I83*I90</f>
        <v>133.5</v>
      </c>
      <c r="O116" s="60" t="s">
        <v>56</v>
      </c>
      <c r="P116" s="59"/>
      <c r="S116" s="60" t="s">
        <v>28</v>
      </c>
      <c r="T116" s="69">
        <f>U83*U90</f>
        <v>165</v>
      </c>
    </row>
    <row r="117" spans="3:21" ht="12.75">
      <c r="C117" s="9" t="s">
        <v>57</v>
      </c>
      <c r="G117" s="9" t="s">
        <v>29</v>
      </c>
      <c r="H117" s="19">
        <f>(D85-D86)*I85*0.5+(I86-K74)*(-I91)*0.5</f>
        <v>1034.9939024390244</v>
      </c>
      <c r="O117" s="60" t="s">
        <v>57</v>
      </c>
      <c r="S117" s="60" t="s">
        <v>29</v>
      </c>
      <c r="T117" s="69">
        <f>(P85-P86)*U85*0.5+(U86-W74)*(-U91)*0.5</f>
        <v>3662.5</v>
      </c>
      <c r="U117" s="69"/>
    </row>
    <row r="118" spans="3:21" ht="12.75">
      <c r="C118" s="9" t="s">
        <v>68</v>
      </c>
      <c r="G118" s="9" t="s">
        <v>21</v>
      </c>
      <c r="H118" s="33">
        <f>H116/(H117-H115)</f>
        <v>1.160365058670144</v>
      </c>
      <c r="I118" s="1" t="s">
        <v>30</v>
      </c>
      <c r="O118" s="60" t="s">
        <v>68</v>
      </c>
      <c r="S118" s="60" t="s">
        <v>21</v>
      </c>
      <c r="T118" s="73">
        <f>T116/(T117-T115)</f>
        <v>1.0476190476190477</v>
      </c>
      <c r="U118" s="59" t="s">
        <v>30</v>
      </c>
    </row>
    <row r="119" spans="3:15" ht="12.75">
      <c r="C119" s="9"/>
      <c r="O119" s="60"/>
    </row>
    <row r="120" spans="3:15" ht="12.75">
      <c r="C120" s="9"/>
      <c r="O120" s="60"/>
    </row>
    <row r="121" spans="3:15" ht="12.75">
      <c r="C121" s="9"/>
      <c r="O121" s="60"/>
    </row>
    <row r="122" spans="3:15" ht="12.75">
      <c r="C122" s="9"/>
      <c r="O122" s="60"/>
    </row>
    <row r="123" spans="3:15" ht="12.75">
      <c r="C123" s="9"/>
      <c r="O123" s="60"/>
    </row>
    <row r="124" spans="3:15" ht="12.75">
      <c r="C124" s="9"/>
      <c r="O124" s="60"/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2000-12-26T03:31:07Z</cp:lastPrinted>
  <dcterms:created xsi:type="dcterms:W3CDTF">1998-11-04T18:36:00Z</dcterms:created>
  <cp:category/>
  <cp:version/>
  <cp:contentType/>
  <cp:contentStatus/>
</cp:coreProperties>
</file>