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4860" windowHeight="14320" tabRatio="14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<sst xmlns="http://schemas.openxmlformats.org/spreadsheetml/2006/main" count="395" uniqueCount="199">
  <si>
    <t>Another way of viewing this result is in terms of the following graphs:</t>
  </si>
  <si>
    <t>First, consider  the following general inverse demand and supply equations:</t>
  </si>
  <si>
    <t>Now consider the following specific equations:</t>
  </si>
  <si>
    <t>LCFR =</t>
  </si>
  <si>
    <t>Inverse Demand</t>
  </si>
  <si>
    <t>Inverse Supply</t>
  </si>
  <si>
    <t>At the initial market equilibrium, the lung cancer fatality rate can be derived by inserting the</t>
  </si>
  <si>
    <t>Instructions:</t>
  </si>
  <si>
    <t>This module has three sections:  1. The base case study; 2. The solution tableau; 3. The case</t>
  </si>
  <si>
    <t>study control panel.  Once you have completed part one and checked your results in part two</t>
  </si>
  <si>
    <t>you can reset values under the control panel to set up a new problem.  The intercept term of</t>
  </si>
  <si>
    <t>the demand equation must be greater than the intercept term of the supply equation to derive</t>
  </si>
  <si>
    <t>a consistent solution.  The accompanying graph displays automatic solution values.</t>
  </si>
  <si>
    <t xml:space="preserve">will maximize the level of tax revenues collected.  Answers to each of these questions depend </t>
  </si>
  <si>
    <t xml:space="preserve">very much on the underlying slopes of the demand and supplyeuqations, the magnitude of </t>
  </si>
  <si>
    <t>the tax, and the relationship of demand to some target level of consumption.</t>
  </si>
  <si>
    <t>The absolute value of the point own-price elasticity of demand is:</t>
  </si>
  <si>
    <t xml:space="preserve"> that level:</t>
  </si>
  <si>
    <t>Optimal Taxation Solution Tableau</t>
  </si>
  <si>
    <t xml:space="preserve">level from which the maximum level of excise taxes can be derived: </t>
  </si>
  <si>
    <t>Qopt=f(MR=Pe) =</t>
  </si>
  <si>
    <t>In turn, by inserting this optimal quantity into the corresponding inverse demand and supply functions</t>
  </si>
  <si>
    <t>we obtain the excise tax wedge level:</t>
  </si>
  <si>
    <t>Optimum Excise Tax=</t>
  </si>
  <si>
    <t>Excise tax revenue=</t>
  </si>
  <si>
    <t xml:space="preserve">  To check your answer, pick any arbitrary tax level and compare</t>
  </si>
  <si>
    <t xml:space="preserve">  the resulting market equilibrium quantity, and tax revenues for</t>
  </si>
  <si>
    <t xml:space="preserve">   that level:</t>
  </si>
  <si>
    <t>excise tax rate</t>
  </si>
  <si>
    <t>market equilibrium quantity</t>
  </si>
  <si>
    <t>excise tax revenues</t>
  </si>
  <si>
    <t>Excise Tax Rate</t>
  </si>
  <si>
    <t>Total Revenue</t>
  </si>
  <si>
    <t xml:space="preserve"> total revenue will </t>
  </si>
  <si>
    <t xml:space="preserve"> This implies a new level of consumption of</t>
  </si>
  <si>
    <t>P. LeBel</t>
  </si>
  <si>
    <t>© 2005</t>
  </si>
  <si>
    <t>Montclair State University</t>
  </si>
  <si>
    <t>Optimal Taxation Case Study</t>
  </si>
  <si>
    <t>©2005</t>
  </si>
  <si>
    <t>consumption level is known, and solve for the corresponding level of the excise tax.</t>
  </si>
  <si>
    <t>Consumer burden</t>
  </si>
  <si>
    <t>Producer burden</t>
  </si>
  <si>
    <t>Total burden</t>
  </si>
  <si>
    <t>C.</t>
  </si>
  <si>
    <t>Maximizing the Level of Excise Tax Revenues</t>
  </si>
  <si>
    <t>We begin again with the pre-tax market conditions as before:</t>
  </si>
  <si>
    <t>one also can ask what is the tax rate that will maximize tax revenues.  Here the question is not</t>
  </si>
  <si>
    <t>how to achieve some targeted reduction in consumption, nor whether the tax is efficient, but</t>
  </si>
  <si>
    <t xml:space="preserve">triangle determined by the difference between the new and old equilibrium quantity </t>
  </si>
  <si>
    <t>and the vertical distance defined by the unit level of the tax:</t>
  </si>
  <si>
    <t>Total tax revenue =</t>
  </si>
  <si>
    <t>Excess burden of the tax =</t>
  </si>
  <si>
    <t>As long as the excess burden does not exceed some threshhold level such as 5 percent,</t>
  </si>
  <si>
    <t>Pd</t>
  </si>
  <si>
    <t>Ps</t>
  </si>
  <si>
    <t>Pe</t>
  </si>
  <si>
    <t>Let us now examine the welfare effects of the optimal tax model. First we derive the pre-tax level of</t>
  </si>
  <si>
    <t>TSW =</t>
  </si>
  <si>
    <t>DSWL=</t>
  </si>
  <si>
    <t>total social welfare (TSW), the deadweight social welfare loss from the tax (DSWL), and then the excess</t>
  </si>
  <si>
    <t>burden of the tax, as the ratio of the deadweight social welfare loss to the level of excise tax revenues:</t>
  </si>
  <si>
    <t>Excess Burden Ratio of the Tax =</t>
  </si>
  <si>
    <t xml:space="preserve"> =(0.5)x</t>
  </si>
  <si>
    <t xml:space="preserve">  =(0.5)x</t>
  </si>
  <si>
    <t xml:space="preserve">      =     </t>
  </si>
  <si>
    <t>TAXREV (Tax Revenues) =</t>
  </si>
  <si>
    <t xml:space="preserve">      =(DSWL)/(TAXREV)</t>
  </si>
  <si>
    <t xml:space="preserve">     With such a high excess burden ratio, it is clear that there is a trade-off between the goal of tax efficiency</t>
  </si>
  <si>
    <t>and tax maximization.  The optimal weight between efficiency and maximization depends on the extent of</t>
  </si>
  <si>
    <t>market failure and on the relative utility of public expenditures.</t>
  </si>
  <si>
    <t>consideration the burden of the tax on producers and consumers.  To look at the efficiency of a tax</t>
  </si>
  <si>
    <t>from this broader economic perspective, let us now revisit the original pre-tax market conditions</t>
  </si>
  <si>
    <t>and derive the corresponding economic efficiency conditions.</t>
  </si>
  <si>
    <t>The question is what would be the necessary tax to achieve this targeted level of reduced tobacco</t>
  </si>
  <si>
    <t>of tobacco and lung cancer, simplified here as a direct linear relationship:</t>
  </si>
  <si>
    <t>consumption.  The solution is found by first deriving the market price that corresponds to the target</t>
  </si>
  <si>
    <t>level of quantity demanded necessary to achieve to target level of reduction in lung cancer fatalities.</t>
  </si>
  <si>
    <t xml:space="preserve">The above calculations can be checked by a comparison of lung cancer fatality rates </t>
  </si>
  <si>
    <t>with the tax in comparison to the pre-tax equilibrium:</t>
  </si>
  <si>
    <t>pre-tax lung cancer fatality  rate</t>
  </si>
  <si>
    <t>post-tax cancer fatality rate</t>
  </si>
  <si>
    <t>Since the objective of the tax has been to reduce lung cancer fatality rates, the size of market</t>
  </si>
  <si>
    <t>revenues and the level of taxes collected are of secondary importance.  For purposes of</t>
  </si>
  <si>
    <t>comparison, we note here the new own-price elasticity of demand at</t>
  </si>
  <si>
    <t xml:space="preserve"> which is</t>
  </si>
  <si>
    <t xml:space="preserve">such that total revenue will now </t>
  </si>
  <si>
    <t>with the imposition of the tax.</t>
  </si>
  <si>
    <t>Determining the Effectiveness of an Excise Tax</t>
  </si>
  <si>
    <t>A.</t>
  </si>
  <si>
    <t>B.</t>
  </si>
  <si>
    <t>Determining the Efficiency of an Excise Tax</t>
  </si>
  <si>
    <t xml:space="preserve">     While taxes may be imposed to accomplish a behavioral objective, as in the preceding example,</t>
  </si>
  <si>
    <t xml:space="preserve"> initial pre-tax inverse demand equation</t>
  </si>
  <si>
    <t xml:space="preserve"> initial-pre-tax inverse supply equation</t>
  </si>
  <si>
    <t>Consider now an excise tax rate of:</t>
  </si>
  <si>
    <t>We repeat the initial market equilibrium conditions as:</t>
  </si>
  <si>
    <t>with an initial point own-price elasticity of demand at:</t>
  </si>
  <si>
    <t>Because this value is</t>
  </si>
  <si>
    <t>with a post-tax point own-price elasticity of demand at:</t>
  </si>
  <si>
    <t>the tax may be thought of as efficient.</t>
  </si>
  <si>
    <t>While the excess burden of a tax may be used to determine whether a tax is efficient,</t>
  </si>
  <si>
    <t xml:space="preserve">     Taxation serves a number of objectives.  One is to affect economic behavior, as in the</t>
  </si>
  <si>
    <t>imposition of a tax on gasoline or tobacco to affect consumption levels.  How one sets the</t>
  </si>
  <si>
    <t>level of such a tax determines whether the tax is effective (collection and administrative</t>
  </si>
  <si>
    <t>fees aside).  Another objective of taxation is to raise revenues for public spending.  Here</t>
  </si>
  <si>
    <t xml:space="preserve">one can determine whether a tax is efficient in terms of the loss of social welfare relative </t>
  </si>
  <si>
    <t>to the given level of tax revenue collected.  Finally, one can ask what is the tax rate that</t>
  </si>
  <si>
    <t>Market Equilibrium and Social Welfare</t>
  </si>
  <si>
    <t>We consider first the case of the effectiveness of a tax in achieving desired changes</t>
  </si>
  <si>
    <t>in consumption.  Consider first the the following schedules relating the consumption</t>
  </si>
  <si>
    <t>Lung Cancer Fatality Rate</t>
  </si>
  <si>
    <t>another way to view taxation is in terms of the efficiency of the tax.  One way to look at the efficiency</t>
  </si>
  <si>
    <t>of taxation is to calculate the administrative and collection costs per dollar of tax revenue collected.</t>
  </si>
  <si>
    <t>This is a naïve approach to estimating the efficiency of a tax because it does not take into</t>
  </si>
  <si>
    <t>Demand Limit Price</t>
  </si>
  <si>
    <t>Supply Limit Price</t>
  </si>
  <si>
    <t>Supply &amp; Excise Tax</t>
  </si>
  <si>
    <t>Optimal Taxation Control Panel</t>
  </si>
  <si>
    <t>Reference Base Case</t>
  </si>
  <si>
    <t>Simulation</t>
  </si>
  <si>
    <t>Select Demand Intercept</t>
  </si>
  <si>
    <t>Select Demand Coefficient</t>
  </si>
  <si>
    <t>Select Supply Intercept</t>
  </si>
  <si>
    <t>Select Supply Coefficient</t>
  </si>
  <si>
    <t>Select LCFR Intercept</t>
  </si>
  <si>
    <t>Select LCFR Coefficient</t>
  </si>
  <si>
    <t>Select LCFR Percent Reduction</t>
  </si>
  <si>
    <t>Select Excise Tax Rate</t>
  </si>
  <si>
    <t>Pt. Own-Pr.Elast.Demand=</t>
  </si>
  <si>
    <t>The absolute value of the own-price elasticity of demand is:</t>
  </si>
  <si>
    <t>market equilibrium quantity level into the lung cancer fatality rate equation:</t>
  </si>
  <si>
    <t>LCFR=</t>
  </si>
  <si>
    <t>Now consider a social policy in which the goal is to reduce the lung cancer fatality rate by</t>
  </si>
  <si>
    <t xml:space="preserve">   =</t>
  </si>
  <si>
    <t xml:space="preserve"> Next, one can take</t>
  </si>
  <si>
    <t xml:space="preserve"> this new market price and insert it into a tax-augmented inverse supply equation whose </t>
  </si>
  <si>
    <t>(+Tax)</t>
  </si>
  <si>
    <t>Dr. P. LeBel</t>
  </si>
  <si>
    <t>Pd=</t>
  </si>
  <si>
    <t>Qd</t>
  </si>
  <si>
    <t>Ps=</t>
  </si>
  <si>
    <t>Qs</t>
  </si>
  <si>
    <t>Qe=</t>
  </si>
  <si>
    <t>Pe=</t>
  </si>
  <si>
    <t>Ed=</t>
  </si>
  <si>
    <t>TR=</t>
  </si>
  <si>
    <t>TSW=</t>
  </si>
  <si>
    <t>Deadweight Loss =</t>
  </si>
  <si>
    <t>First, solve for the initial pre-tax market equilibrium:</t>
  </si>
  <si>
    <t>and initial total social welfare is:</t>
  </si>
  <si>
    <t>a</t>
  </si>
  <si>
    <t xml:space="preserve"> -b</t>
  </si>
  <si>
    <t>c</t>
  </si>
  <si>
    <t xml:space="preserve"> +d</t>
  </si>
  <si>
    <t>Now consider the impact of an excise tax in terms of market equilibrium,</t>
  </si>
  <si>
    <t xml:space="preserve"> the own-price elasticity of demand, social welfare, and the level of tax revenues:</t>
  </si>
  <si>
    <t>At this initial equilibrium, the point own-price elasticity of demand is:</t>
  </si>
  <si>
    <t>which is added to the constant term</t>
  </si>
  <si>
    <t>of the inverse supply equation.</t>
  </si>
  <si>
    <t>Calculating the Impact of an Excise Tax</t>
  </si>
  <si>
    <t>The post-tax market equilibrium will be:</t>
  </si>
  <si>
    <t>Tax Revenues will be:</t>
  </si>
  <si>
    <t>The burden of the tax on consumers and producers can be determined by the</t>
  </si>
  <si>
    <t>proportions that make up the sum of the absolute values of the slopes of the</t>
  </si>
  <si>
    <t>inverse demand and supply equations.  Thus the proportions are given at:</t>
  </si>
  <si>
    <t>Multiplying these proportions times the level of total tax revenues determines the</t>
  </si>
  <si>
    <t xml:space="preserve"> MR function =</t>
  </si>
  <si>
    <t>The first derivative  yields:</t>
  </si>
  <si>
    <t xml:space="preserve">inverse demand and supply equations, on the underlying point own-price elasticities of  </t>
  </si>
  <si>
    <t>demand and supply, as well as on the magnitude of the excise tax.</t>
  </si>
  <si>
    <t>Setting the marginal revenue function equal to the market equilibrium price yields the output</t>
  </si>
  <si>
    <t>at what rate can tax revenues be maximized  for purposes of achieving a targeted level of</t>
  </si>
  <si>
    <t xml:space="preserve">budgetary expenditures.  The answer depends on the absolute values of the slopes of the </t>
  </si>
  <si>
    <t>Q</t>
  </si>
  <si>
    <t xml:space="preserve">Let us now consider this from the point of view of total and marginal functions.  </t>
  </si>
  <si>
    <t>First we derive the industry total and marginal revenue functions as:</t>
  </si>
  <si>
    <t>TR function =</t>
  </si>
  <si>
    <t>Pd =</t>
  </si>
  <si>
    <t>Ps =</t>
  </si>
  <si>
    <r>
      <t>Q</t>
    </r>
    <r>
      <rPr>
        <b/>
        <vertAlign val="superscript"/>
        <sz val="14"/>
        <rFont val="Helv"/>
        <family val="0"/>
      </rPr>
      <t>2</t>
    </r>
  </si>
  <si>
    <t>Tax Revenues</t>
  </si>
  <si>
    <t>Required excise tax =</t>
  </si>
  <si>
    <t>per unit</t>
  </si>
  <si>
    <t xml:space="preserve"> Thus:</t>
  </si>
  <si>
    <t>new equilibrium quantity</t>
  </si>
  <si>
    <t>new equilibrium price</t>
  </si>
  <si>
    <t>percentage change</t>
  </si>
  <si>
    <t xml:space="preserve">units. </t>
  </si>
  <si>
    <t>(This is found by solving for Qd at the new LCFR target level)</t>
  </si>
  <si>
    <t xml:space="preserve">  or at a new level of</t>
  </si>
  <si>
    <t>(Select a decimal target value and enter in the first highlighted cell below left:)</t>
  </si>
  <si>
    <t>proportion of the tax borne by consumers as a loss of consumer surplus and the</t>
  </si>
  <si>
    <t>proportion of the tax borne by producers as a loss of producer surplus:</t>
  </si>
  <si>
    <t>Burden of the tax borne by consumers:</t>
  </si>
  <si>
    <t>Burden of the tax borne by producers:</t>
  </si>
  <si>
    <t>Total tax revenue:</t>
  </si>
  <si>
    <t>The excess burden of the tax is the ratio of the deadweight social welfare loss to</t>
  </si>
  <si>
    <t>the level of tax revenues.  The deadweight social welfare loss is defined as the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</si>
</sst>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(&quot;$&quot;#,##0.00\)"/>
    <numFmt numFmtId="165" formatCode="0.0000"/>
    <numFmt numFmtId="166" formatCode="\+0.00"/>
    <numFmt numFmtId="167" formatCode="\(0.00\)\x"/>
    <numFmt numFmtId="168" formatCode="\(0.0000\)"/>
    <numFmt numFmtId="169" formatCode="#,##0.0000"/>
    <numFmt numFmtId="170" formatCode="\(0.00\ \-"/>
    <numFmt numFmtId="171" formatCode="0.00\)\x"/>
    <numFmt numFmtId="172" formatCode="\(&quot;$&quot;0.00\)"/>
    <numFmt numFmtId="173" formatCode="\=\(0.00\)\x"/>
    <numFmt numFmtId="174" formatCode="\(&quot;$&quot;0.00\)\÷"/>
    <numFmt numFmtId="175" formatCode="\=\(&quot;$&quot;0.00\)\÷"/>
    <numFmt numFmtId="176" formatCode="\(\(0.00\)\x"/>
    <numFmt numFmtId="177" formatCode="0.00\)\)"/>
    <numFmt numFmtId="178" formatCode="\-0.00\)\x"/>
    <numFmt numFmtId="179" formatCode="\(0.00\)"/>
    <numFmt numFmtId="180" formatCode="\=\(0.00\+"/>
    <numFmt numFmtId="181" formatCode="&quot;$&quot;#,##0.00"/>
    <numFmt numFmtId="182" formatCode="&quot;$&quot;#,##0.00\="/>
    <numFmt numFmtId="183" formatCode="\+\(0.00\)\x"/>
    <numFmt numFmtId="184" formatCode="#,##0.0000000000000"/>
    <numFmt numFmtId="185" formatCode="\=\(&quot;$&quot;0.00\)\x"/>
    <numFmt numFmtId="186" formatCode="\(0.00\)\)"/>
    <numFmt numFmtId="187" formatCode="\=\(&quot;$&quot;#,##0.00\-"/>
    <numFmt numFmtId="188" formatCode="\-0.00\)\÷"/>
    <numFmt numFmtId="189" formatCode="0.00\)\÷"/>
    <numFmt numFmtId="190" formatCode="\+0.00;\ \-0.00"/>
  </numFmts>
  <fonts count="2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sz val="10"/>
      <color indexed="12"/>
      <name val="Helv"/>
      <family val="0"/>
    </font>
    <font>
      <sz val="9"/>
      <color indexed="12"/>
      <name val="Helv"/>
      <family val="0"/>
    </font>
    <font>
      <b/>
      <vertAlign val="superscript"/>
      <sz val="14"/>
      <name val="Helv"/>
      <family val="0"/>
    </font>
    <font>
      <b/>
      <sz val="9.5"/>
      <color indexed="12"/>
      <name val="Helv"/>
      <family val="0"/>
    </font>
    <font>
      <sz val="9.75"/>
      <name val="Helv"/>
      <family val="0"/>
    </font>
    <font>
      <sz val="10.25"/>
      <name val="Helv"/>
      <family val="0"/>
    </font>
    <font>
      <b/>
      <sz val="8"/>
      <name val="Helv"/>
      <family val="0"/>
    </font>
    <font>
      <b/>
      <sz val="10.5"/>
      <color indexed="12"/>
      <name val="Helv"/>
      <family val="0"/>
    </font>
    <font>
      <sz val="8"/>
      <name val="Helv"/>
      <family val="0"/>
    </font>
    <font>
      <sz val="8.75"/>
      <name val="Helv"/>
      <family val="0"/>
    </font>
    <font>
      <b/>
      <sz val="18"/>
      <name val="Apple Chancery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4" xfId="0" applyFont="1" applyBorder="1" applyAlignment="1">
      <alignment horizontal="right"/>
    </xf>
    <xf numFmtId="2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2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1" xfId="0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11" xfId="0" applyFont="1" applyBorder="1" applyAlignment="1">
      <alignment/>
    </xf>
    <xf numFmtId="165" fontId="5" fillId="0" borderId="13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164" fontId="5" fillId="0" borderId="13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1" fontId="5" fillId="0" borderId="12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5" fillId="0" borderId="13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1" fontId="5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 horizontal="left"/>
    </xf>
    <xf numFmtId="171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left"/>
    </xf>
    <xf numFmtId="168" fontId="4" fillId="0" borderId="13" xfId="0" applyNumberFormat="1" applyFont="1" applyBorder="1" applyAlignment="1">
      <alignment horizontal="left"/>
    </xf>
    <xf numFmtId="175" fontId="4" fillId="0" borderId="11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6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 horizontal="left"/>
    </xf>
    <xf numFmtId="170" fontId="4" fillId="0" borderId="12" xfId="0" applyNumberFormat="1" applyFont="1" applyBorder="1" applyAlignment="1">
      <alignment/>
    </xf>
    <xf numFmtId="179" fontId="4" fillId="0" borderId="13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180" fontId="4" fillId="0" borderId="11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center"/>
    </xf>
    <xf numFmtId="181" fontId="4" fillId="0" borderId="0" xfId="0" applyNumberFormat="1" applyFont="1" applyAlignment="1">
      <alignment/>
    </xf>
    <xf numFmtId="176" fontId="5" fillId="0" borderId="12" xfId="0" applyNumberFormat="1" applyFont="1" applyBorder="1" applyAlignment="1">
      <alignment/>
    </xf>
    <xf numFmtId="179" fontId="5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181" fontId="5" fillId="0" borderId="13" xfId="0" applyNumberFormat="1" applyFont="1" applyBorder="1" applyAlignment="1">
      <alignment horizontal="left"/>
    </xf>
    <xf numFmtId="166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82" fontId="5" fillId="0" borderId="12" xfId="0" applyNumberFormat="1" applyFont="1" applyBorder="1" applyAlignment="1">
      <alignment/>
    </xf>
    <xf numFmtId="183" fontId="5" fillId="0" borderId="12" xfId="0" applyNumberFormat="1" applyFont="1" applyBorder="1" applyAlignment="1">
      <alignment/>
    </xf>
    <xf numFmtId="179" fontId="5" fillId="0" borderId="13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5" fillId="0" borderId="8" xfId="0" applyNumberFormat="1" applyFont="1" applyBorder="1" applyAlignment="1">
      <alignment/>
    </xf>
    <xf numFmtId="2" fontId="0" fillId="0" borderId="0" xfId="0" applyNumberFormat="1" applyAlignment="1">
      <alignment/>
    </xf>
    <xf numFmtId="181" fontId="5" fillId="0" borderId="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85" fontId="4" fillId="0" borderId="1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8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181" fontId="0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181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17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left"/>
    </xf>
    <xf numFmtId="187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4" fillId="0" borderId="8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5" fillId="0" borderId="13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190" fontId="5" fillId="0" borderId="8" xfId="0" applyNumberFormat="1" applyFont="1" applyBorder="1" applyAlignment="1">
      <alignment/>
    </xf>
    <xf numFmtId="10" fontId="4" fillId="0" borderId="16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left"/>
    </xf>
    <xf numFmtId="2" fontId="9" fillId="0" borderId="18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10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Optimal Excise Tax Revenues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5"/>
          <c:y val="0.10775"/>
          <c:w val="0.95125"/>
          <c:h val="0.7485"/>
        </c:manualLayout>
      </c:layout>
      <c:lineChart>
        <c:grouping val="standard"/>
        <c:varyColors val="0"/>
        <c:ser>
          <c:idx val="1"/>
          <c:order val="0"/>
          <c:tx>
            <c:strRef>
              <c:f>Sheet1!$E$329</c:f>
              <c:strCache>
                <c:ptCount val="1"/>
                <c:pt idx="0">
                  <c:v>Excise Tax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Sheet1!$D$330:$D$374</c:f>
              <c:numCache/>
            </c:numRef>
          </c:cat>
          <c:val>
            <c:numRef>
              <c:f>Sheet1!$E$330:$E$374</c:f>
              <c:numCache/>
            </c:numRef>
          </c:val>
          <c:smooth val="0"/>
        </c:ser>
        <c:ser>
          <c:idx val="2"/>
          <c:order val="1"/>
          <c:tx>
            <c:strRef>
              <c:f>Sheet1!$F$329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Sheet1!$D$330:$D$374</c:f>
              <c:numCache/>
            </c:numRef>
          </c:cat>
          <c:val>
            <c:numRef>
              <c:f>Sheet1!$F$330:$F$374</c:f>
              <c:numCache/>
            </c:numRef>
          </c:val>
          <c:smooth val="0"/>
        </c:ser>
        <c:ser>
          <c:idx val="3"/>
          <c:order val="2"/>
          <c:tx>
            <c:strRef>
              <c:f>Sheet1!$G$329</c:f>
              <c:strCache>
                <c:ptCount val="1"/>
                <c:pt idx="0">
                  <c:v>Tax Revenues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Sheet1!$D$330:$D$374</c:f>
              <c:numCache/>
            </c:numRef>
          </c:cat>
          <c:val>
            <c:numRef>
              <c:f>Sheet1!$G$330:$G$374</c:f>
              <c:numCache/>
            </c:numRef>
          </c:val>
          <c:smooth val="0"/>
        </c:ser>
        <c:marker val="1"/>
        <c:axId val="2532529"/>
        <c:axId val="22792762"/>
      </c:lineChart>
      <c:catAx>
        <c:axId val="25325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Helv"/>
                <a:ea typeface="Helv"/>
                <a:cs typeface="Helv"/>
              </a:defRPr>
            </a:pPr>
          </a:p>
        </c:txPr>
        <c:crossAx val="22792762"/>
        <c:crosses val="autoZero"/>
        <c:auto val="1"/>
        <c:lblOffset val="100"/>
        <c:noMultiLvlLbl val="0"/>
      </c:catAx>
      <c:valAx>
        <c:axId val="22792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"/>
                <a:ea typeface="Helv"/>
                <a:cs typeface="Helv"/>
              </a:defRPr>
            </a:pPr>
          </a:p>
        </c:txPr>
        <c:crossAx val="253252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875"/>
          <c:y val="0.89825"/>
          <c:w val="0.7025"/>
          <c:h val="0.06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Optimal Excise Taxation</a:t>
            </a:r>
          </a:p>
        </c:rich>
      </c:tx>
      <c:layout>
        <c:manualLayout>
          <c:xMode val="factor"/>
          <c:yMode val="factor"/>
          <c:x val="0.02175"/>
          <c:y val="-0.005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8"/>
          <c:y val="0.11975"/>
          <c:w val="0.944"/>
          <c:h val="0.722"/>
        </c:manualLayout>
      </c:layout>
      <c:lineChart>
        <c:grouping val="standard"/>
        <c:varyColors val="0"/>
        <c:ser>
          <c:idx val="1"/>
          <c:order val="0"/>
          <c:tx>
            <c:strRef>
              <c:f>Sheet1!$E$403</c:f>
              <c:strCache>
                <c:ptCount val="1"/>
                <c:pt idx="0">
                  <c:v>Pd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Sheet1!$D$404:$D$434</c:f>
              <c:numCache/>
            </c:numRef>
          </c:cat>
          <c:val>
            <c:numRef>
              <c:f>Sheet1!$E$404:$E$434</c:f>
              <c:numCache/>
            </c:numRef>
          </c:val>
          <c:smooth val="0"/>
        </c:ser>
        <c:ser>
          <c:idx val="2"/>
          <c:order val="1"/>
          <c:tx>
            <c:strRef>
              <c:f>Sheet1!$F$403</c:f>
              <c:strCache>
                <c:ptCount val="1"/>
                <c:pt idx="0">
                  <c:v>Ps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Sheet1!$D$404:$D$434</c:f>
              <c:numCache/>
            </c:numRef>
          </c:cat>
          <c:val>
            <c:numRef>
              <c:f>Sheet1!$F$404:$F$434</c:f>
              <c:numCache/>
            </c:numRef>
          </c:val>
          <c:smooth val="0"/>
        </c:ser>
        <c:ser>
          <c:idx val="3"/>
          <c:order val="2"/>
          <c:tx>
            <c:strRef>
              <c:f>Sheet1!$G$403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noFill/>
              <a:ln>
                <a:solidFill>
                  <a:srgbClr val="1FB714"/>
                </a:solidFill>
              </a:ln>
            </c:spPr>
          </c:marker>
          <c:cat>
            <c:numRef>
              <c:f>Sheet1!$D$404:$D$434</c:f>
              <c:numCache/>
            </c:numRef>
          </c:cat>
          <c:val>
            <c:numRef>
              <c:f>Sheet1!$G$404:$G$434</c:f>
              <c:numCache/>
            </c:numRef>
          </c:val>
          <c:smooth val="0"/>
        </c:ser>
        <c:ser>
          <c:idx val="4"/>
          <c:order val="3"/>
          <c:tx>
            <c:strRef>
              <c:f>Sheet1!$H$403</c:f>
              <c:strCache>
                <c:ptCount val="1"/>
                <c:pt idx="0">
                  <c:v>Demand Limit 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noFill/>
              <a:ln>
                <a:solidFill>
                  <a:srgbClr val="DD0806"/>
                </a:solidFill>
              </a:ln>
            </c:spPr>
          </c:marker>
          <c:cat>
            <c:numRef>
              <c:f>Sheet1!$D$404:$D$434</c:f>
              <c:numCache/>
            </c:numRef>
          </c:cat>
          <c:val>
            <c:numRef>
              <c:f>Sheet1!$H$404:$H$434</c:f>
              <c:numCache/>
            </c:numRef>
          </c:val>
          <c:smooth val="0"/>
        </c:ser>
        <c:ser>
          <c:idx val="5"/>
          <c:order val="4"/>
          <c:tx>
            <c:strRef>
              <c:f>Sheet1!$I$403</c:f>
              <c:strCache>
                <c:ptCount val="1"/>
                <c:pt idx="0">
                  <c:v>Supply Limit 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800000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Sheet1!$D$404:$D$434</c:f>
              <c:numCache/>
            </c:numRef>
          </c:cat>
          <c:val>
            <c:numRef>
              <c:f>Sheet1!$I$404:$I$434</c:f>
              <c:numCache/>
            </c:numRef>
          </c:val>
          <c:smooth val="0"/>
        </c:ser>
        <c:ser>
          <c:idx val="0"/>
          <c:order val="5"/>
          <c:tx>
            <c:strRef>
              <c:f>Sheet1!$J$403</c:f>
              <c:strCache>
                <c:ptCount val="1"/>
                <c:pt idx="0">
                  <c:v>Supply &amp; Excise Tax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Sheet1!$D$404:$D$434</c:f>
              <c:numCache/>
            </c:numRef>
          </c:cat>
          <c:val>
            <c:numRef>
              <c:f>Sheet1!$J$404:$J$434</c:f>
              <c:numCache/>
            </c:numRef>
          </c:val>
          <c:smooth val="0"/>
        </c:ser>
        <c:marker val="1"/>
        <c:axId val="3808267"/>
        <c:axId val="34274404"/>
      </c:lineChart>
      <c:catAx>
        <c:axId val="38082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4274404"/>
        <c:crosses val="autoZero"/>
        <c:auto val="1"/>
        <c:lblOffset val="100"/>
        <c:noMultiLvlLbl val="0"/>
      </c:catAx>
      <c:valAx>
        <c:axId val="34274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08267"/>
        <c:crossesAt val="1"/>
        <c:crossBetween val="between"/>
        <c:dispUnits/>
      </c:valAx>
      <c:spPr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2"/>
          <c:y val="0.8835"/>
          <c:w val="0.97"/>
          <c:h val="0.08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238</xdr:row>
      <xdr:rowOff>85725</xdr:rowOff>
    </xdr:from>
    <xdr:to>
      <xdr:col>7</xdr:col>
      <xdr:colOff>733425</xdr:colOff>
      <xdr:row>238</xdr:row>
      <xdr:rowOff>85725</xdr:rowOff>
    </xdr:to>
    <xdr:sp>
      <xdr:nvSpPr>
        <xdr:cNvPr id="1" name="Line 1"/>
        <xdr:cNvSpPr>
          <a:spLocks/>
        </xdr:cNvSpPr>
      </xdr:nvSpPr>
      <xdr:spPr>
        <a:xfrm>
          <a:off x="4857750" y="41081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38100</xdr:colOff>
      <xdr:row>239</xdr:row>
      <xdr:rowOff>85725</xdr:rowOff>
    </xdr:from>
    <xdr:to>
      <xdr:col>7</xdr:col>
      <xdr:colOff>742950</xdr:colOff>
      <xdr:row>239</xdr:row>
      <xdr:rowOff>85725</xdr:rowOff>
    </xdr:to>
    <xdr:sp>
      <xdr:nvSpPr>
        <xdr:cNvPr id="2" name="Line 2"/>
        <xdr:cNvSpPr>
          <a:spLocks/>
        </xdr:cNvSpPr>
      </xdr:nvSpPr>
      <xdr:spPr>
        <a:xfrm>
          <a:off x="4857750" y="412527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552450</xdr:colOff>
      <xdr:row>287</xdr:row>
      <xdr:rowOff>9525</xdr:rowOff>
    </xdr:from>
    <xdr:to>
      <xdr:col>11</xdr:col>
      <xdr:colOff>504825</xdr:colOff>
      <xdr:row>305</xdr:row>
      <xdr:rowOff>0</xdr:rowOff>
    </xdr:to>
    <xdr:graphicFrame>
      <xdr:nvGraphicFramePr>
        <xdr:cNvPr id="3" name="Chart 5"/>
        <xdr:cNvGraphicFramePr/>
      </xdr:nvGraphicFramePr>
      <xdr:xfrm>
        <a:off x="1419225" y="49263300"/>
        <a:ext cx="6905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305</xdr:row>
      <xdr:rowOff>57150</xdr:rowOff>
    </xdr:from>
    <xdr:to>
      <xdr:col>11</xdr:col>
      <xdr:colOff>447675</xdr:colOff>
      <xdr:row>323</xdr:row>
      <xdr:rowOff>0</xdr:rowOff>
    </xdr:to>
    <xdr:graphicFrame>
      <xdr:nvGraphicFramePr>
        <xdr:cNvPr id="4" name="Chart 8"/>
        <xdr:cNvGraphicFramePr/>
      </xdr:nvGraphicFramePr>
      <xdr:xfrm>
        <a:off x="1485900" y="52063650"/>
        <a:ext cx="67818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96</xdr:row>
      <xdr:rowOff>95250</xdr:rowOff>
    </xdr:from>
    <xdr:to>
      <xdr:col>7</xdr:col>
      <xdr:colOff>733425</xdr:colOff>
      <xdr:row>96</xdr:row>
      <xdr:rowOff>95250</xdr:rowOff>
    </xdr:to>
    <xdr:sp>
      <xdr:nvSpPr>
        <xdr:cNvPr id="5" name="Line 9"/>
        <xdr:cNvSpPr>
          <a:spLocks/>
        </xdr:cNvSpPr>
      </xdr:nvSpPr>
      <xdr:spPr>
        <a:xfrm>
          <a:off x="4857750" y="16716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38100</xdr:colOff>
      <xdr:row>97</xdr:row>
      <xdr:rowOff>85725</xdr:rowOff>
    </xdr:from>
    <xdr:to>
      <xdr:col>7</xdr:col>
      <xdr:colOff>742950</xdr:colOff>
      <xdr:row>97</xdr:row>
      <xdr:rowOff>85725</xdr:rowOff>
    </xdr:to>
    <xdr:sp>
      <xdr:nvSpPr>
        <xdr:cNvPr id="6" name="Line 10"/>
        <xdr:cNvSpPr>
          <a:spLocks/>
        </xdr:cNvSpPr>
      </xdr:nvSpPr>
      <xdr:spPr>
        <a:xfrm>
          <a:off x="4857750" y="168783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9"/>
  <sheetViews>
    <sheetView tabSelected="1" workbookViewId="0" topLeftCell="A1">
      <selection activeCell="B4" sqref="B4"/>
    </sheetView>
  </sheetViews>
  <sheetFormatPr defaultColWidth="11.421875" defaultRowHeight="12"/>
  <cols>
    <col min="1" max="1" width="7.00390625" style="1" customWidth="1"/>
    <col min="2" max="2" width="6.00390625" style="2" customWidth="1"/>
    <col min="3" max="3" width="8.421875" style="1" customWidth="1"/>
    <col min="4" max="4" width="12.8515625" style="1" customWidth="1"/>
    <col min="5" max="5" width="12.8515625" style="1" bestFit="1" customWidth="1"/>
    <col min="6" max="6" width="13.00390625" style="1" customWidth="1"/>
    <col min="7" max="7" width="12.140625" style="1" bestFit="1" customWidth="1"/>
    <col min="8" max="8" width="12.140625" style="1" customWidth="1"/>
    <col min="9" max="9" width="12.421875" style="1" customWidth="1"/>
    <col min="10" max="10" width="10.57421875" style="1" customWidth="1"/>
    <col min="11" max="11" width="9.8515625" style="1" customWidth="1"/>
    <col min="12" max="12" width="11.140625" style="1" customWidth="1"/>
    <col min="13" max="13" width="7.8515625" style="1" customWidth="1"/>
    <col min="14" max="14" width="6.421875" style="1" customWidth="1"/>
    <col min="15" max="15" width="7.8515625" style="1" customWidth="1"/>
    <col min="16" max="16384" width="11.00390625" style="1" customWidth="1"/>
  </cols>
  <sheetData>
    <row r="1" ht="30" thickBot="1">
      <c r="G1" s="162" t="s">
        <v>37</v>
      </c>
    </row>
    <row r="2" spans="4:23" ht="13.5" thickBot="1">
      <c r="D2" s="37"/>
      <c r="E2" s="163"/>
      <c r="F2" s="4"/>
      <c r="G2" s="3" t="s">
        <v>38</v>
      </c>
      <c r="H2" s="4"/>
      <c r="I2" s="164"/>
      <c r="J2" s="37"/>
      <c r="K2" s="37"/>
      <c r="P2" s="2"/>
      <c r="Q2" s="5"/>
      <c r="R2" s="6"/>
      <c r="S2" s="4"/>
      <c r="T2" s="3" t="s">
        <v>118</v>
      </c>
      <c r="U2" s="4"/>
      <c r="V2" s="6"/>
      <c r="W2" s="7"/>
    </row>
    <row r="3" spans="3:24" ht="13.5" thickBot="1">
      <c r="C3" s="108" t="s">
        <v>36</v>
      </c>
      <c r="D3" s="37"/>
      <c r="E3" s="75"/>
      <c r="F3" s="76"/>
      <c r="G3" s="75"/>
      <c r="H3" s="37"/>
      <c r="I3" s="37"/>
      <c r="L3" s="2" t="s">
        <v>35</v>
      </c>
      <c r="P3" s="2"/>
      <c r="Q3" s="37"/>
      <c r="R3" s="37"/>
      <c r="S3" s="75"/>
      <c r="T3" s="76"/>
      <c r="U3" s="75"/>
      <c r="V3" s="37"/>
      <c r="W3" s="37"/>
      <c r="X3" s="2" t="s">
        <v>138</v>
      </c>
    </row>
    <row r="4" spans="3:24" ht="13.5" thickBot="1">
      <c r="C4" s="150" t="s">
        <v>7</v>
      </c>
      <c r="D4" s="54"/>
      <c r="E4" s="54"/>
      <c r="F4" s="54"/>
      <c r="G4" s="54"/>
      <c r="H4" s="54"/>
      <c r="I4" s="54"/>
      <c r="J4" s="54"/>
      <c r="K4" s="54"/>
      <c r="L4" s="54"/>
      <c r="M4" s="81"/>
      <c r="N4" s="37"/>
      <c r="O4" s="37"/>
      <c r="P4" s="2"/>
      <c r="T4" s="2" t="s">
        <v>120</v>
      </c>
      <c r="U4" s="8" t="s">
        <v>119</v>
      </c>
      <c r="V4" s="37"/>
      <c r="W4" s="37"/>
      <c r="X4" s="2"/>
    </row>
    <row r="5" spans="3:24" ht="13.5" thickBot="1">
      <c r="C5" s="81"/>
      <c r="D5" s="37" t="s">
        <v>8</v>
      </c>
      <c r="E5" s="37"/>
      <c r="F5" s="37"/>
      <c r="G5" s="37"/>
      <c r="H5" s="37"/>
      <c r="I5" s="37"/>
      <c r="J5" s="37"/>
      <c r="K5" s="37"/>
      <c r="L5" s="37"/>
      <c r="M5" s="81"/>
      <c r="N5" s="37"/>
      <c r="O5" s="37"/>
      <c r="P5" s="2"/>
      <c r="S5" s="149" t="s">
        <v>121</v>
      </c>
      <c r="T5" s="106">
        <v>10</v>
      </c>
      <c r="U5" s="106">
        <v>12</v>
      </c>
      <c r="V5" s="37"/>
      <c r="W5" s="37"/>
      <c r="X5" s="2"/>
    </row>
    <row r="6" spans="3:24" ht="13.5" thickBot="1">
      <c r="C6" s="81"/>
      <c r="D6" s="37" t="s">
        <v>9</v>
      </c>
      <c r="E6" s="37"/>
      <c r="F6" s="37"/>
      <c r="G6" s="37"/>
      <c r="H6" s="37"/>
      <c r="I6" s="37"/>
      <c r="J6" s="37"/>
      <c r="K6" s="37"/>
      <c r="L6" s="37"/>
      <c r="M6" s="81"/>
      <c r="N6" s="37"/>
      <c r="O6" s="37"/>
      <c r="P6" s="2"/>
      <c r="S6" s="149" t="s">
        <v>122</v>
      </c>
      <c r="T6" s="106">
        <v>-0.2</v>
      </c>
      <c r="U6" s="106">
        <v>-0.5</v>
      </c>
      <c r="V6" s="37"/>
      <c r="W6" s="37"/>
      <c r="X6" s="2"/>
    </row>
    <row r="7" spans="3:24" ht="13.5" thickBot="1">
      <c r="C7" s="81"/>
      <c r="D7" s="37" t="s">
        <v>10</v>
      </c>
      <c r="E7" s="37"/>
      <c r="F7" s="37"/>
      <c r="G7" s="37"/>
      <c r="H7" s="37"/>
      <c r="I7" s="37"/>
      <c r="J7" s="37"/>
      <c r="K7" s="37"/>
      <c r="L7" s="37"/>
      <c r="M7" s="81"/>
      <c r="N7" s="37"/>
      <c r="O7" s="37"/>
      <c r="P7" s="2"/>
      <c r="S7" s="149" t="s">
        <v>123</v>
      </c>
      <c r="T7" s="106">
        <v>0.6</v>
      </c>
      <c r="U7" s="106">
        <v>0.5</v>
      </c>
      <c r="V7" s="37"/>
      <c r="W7" s="37"/>
      <c r="X7" s="2"/>
    </row>
    <row r="8" spans="3:24" ht="13.5" thickBot="1">
      <c r="C8" s="81"/>
      <c r="D8" s="37" t="s">
        <v>11</v>
      </c>
      <c r="E8" s="37"/>
      <c r="F8" s="37"/>
      <c r="G8" s="37"/>
      <c r="H8" s="37"/>
      <c r="I8" s="37"/>
      <c r="J8" s="37"/>
      <c r="K8" s="37"/>
      <c r="L8" s="37"/>
      <c r="M8" s="81"/>
      <c r="N8" s="37"/>
      <c r="O8" s="37"/>
      <c r="P8" s="2"/>
      <c r="S8" s="149" t="s">
        <v>124</v>
      </c>
      <c r="T8" s="106">
        <v>0.2</v>
      </c>
      <c r="U8" s="106">
        <v>0.25</v>
      </c>
      <c r="V8" s="37"/>
      <c r="W8" s="37"/>
      <c r="X8" s="2"/>
    </row>
    <row r="9" spans="3:24" ht="13.5" thickBot="1">
      <c r="C9" s="73"/>
      <c r="D9" s="151" t="s">
        <v>12</v>
      </c>
      <c r="E9" s="151"/>
      <c r="F9" s="151"/>
      <c r="G9" s="151"/>
      <c r="H9" s="151"/>
      <c r="I9" s="151"/>
      <c r="J9" s="151"/>
      <c r="K9" s="151"/>
      <c r="L9" s="151"/>
      <c r="M9" s="81"/>
      <c r="N9" s="37"/>
      <c r="O9" s="37"/>
      <c r="P9" s="2"/>
      <c r="S9" s="149" t="s">
        <v>125</v>
      </c>
      <c r="T9" s="106">
        <v>0.24</v>
      </c>
      <c r="U9" s="106">
        <v>0.25</v>
      </c>
      <c r="V9" s="37"/>
      <c r="W9" s="37"/>
      <c r="X9" s="2"/>
    </row>
    <row r="10" spans="3:24" ht="13.5" thickBot="1">
      <c r="C10" s="37"/>
      <c r="D10" s="37" t="s">
        <v>102</v>
      </c>
      <c r="E10" s="37"/>
      <c r="F10" s="75"/>
      <c r="G10" s="76"/>
      <c r="H10" s="75"/>
      <c r="I10" s="37"/>
      <c r="J10" s="37"/>
      <c r="P10" s="2"/>
      <c r="S10" s="149" t="s">
        <v>126</v>
      </c>
      <c r="T10" s="106">
        <v>0.45</v>
      </c>
      <c r="U10" s="106">
        <v>0.4</v>
      </c>
      <c r="V10" s="37"/>
      <c r="W10" s="37"/>
      <c r="X10" s="2"/>
    </row>
    <row r="11" spans="3:24" ht="13.5" thickBot="1">
      <c r="C11" s="37"/>
      <c r="D11" s="37" t="s">
        <v>103</v>
      </c>
      <c r="E11" s="37"/>
      <c r="F11" s="75"/>
      <c r="G11" s="76"/>
      <c r="H11" s="75"/>
      <c r="I11" s="37"/>
      <c r="J11" s="37"/>
      <c r="P11" s="2"/>
      <c r="S11" s="149" t="s">
        <v>127</v>
      </c>
      <c r="T11" s="106">
        <v>0.5</v>
      </c>
      <c r="U11" s="106">
        <v>0.5</v>
      </c>
      <c r="V11" s="37"/>
      <c r="W11" s="37"/>
      <c r="X11" s="2"/>
    </row>
    <row r="12" spans="3:24" ht="13.5" thickBot="1">
      <c r="C12" s="37"/>
      <c r="D12" s="37" t="s">
        <v>104</v>
      </c>
      <c r="E12" s="37"/>
      <c r="F12" s="75"/>
      <c r="G12" s="76"/>
      <c r="H12" s="75"/>
      <c r="I12" s="37"/>
      <c r="J12" s="37"/>
      <c r="P12" s="2"/>
      <c r="S12" s="149" t="s">
        <v>128</v>
      </c>
      <c r="T12" s="122">
        <v>2</v>
      </c>
      <c r="U12" s="122">
        <v>2</v>
      </c>
      <c r="V12" s="37"/>
      <c r="W12" s="37"/>
      <c r="X12" s="2"/>
    </row>
    <row r="13" spans="4:24" ht="12.75">
      <c r="D13" s="37" t="s">
        <v>105</v>
      </c>
      <c r="E13" s="37"/>
      <c r="F13" s="75"/>
      <c r="G13" s="76"/>
      <c r="H13" s="75"/>
      <c r="I13" s="37"/>
      <c r="J13" s="37"/>
      <c r="P13" s="2"/>
      <c r="S13" s="44"/>
      <c r="T13" s="17"/>
      <c r="U13" s="17"/>
      <c r="V13" s="37"/>
      <c r="W13" s="37"/>
      <c r="X13" s="2"/>
    </row>
    <row r="14" ht="12.75">
      <c r="D14" s="1" t="s">
        <v>106</v>
      </c>
    </row>
    <row r="15" ht="12.75">
      <c r="D15" s="1" t="s">
        <v>107</v>
      </c>
    </row>
    <row r="16" ht="12.75">
      <c r="D16" s="1" t="s">
        <v>13</v>
      </c>
    </row>
    <row r="17" ht="12.75">
      <c r="D17" s="1" t="s">
        <v>14</v>
      </c>
    </row>
    <row r="18" ht="13.5" thickBot="1">
      <c r="D18" s="1" t="s">
        <v>15</v>
      </c>
    </row>
    <row r="19" spans="2:11" ht="13.5" thickBot="1">
      <c r="B19" s="1"/>
      <c r="C19" s="2"/>
      <c r="D19" s="167"/>
      <c r="E19" s="114"/>
      <c r="F19" s="114"/>
      <c r="G19" s="115" t="s">
        <v>108</v>
      </c>
      <c r="H19" s="114"/>
      <c r="I19" s="114"/>
      <c r="J19" s="165"/>
      <c r="K19" s="166"/>
    </row>
    <row r="20" spans="2:10" ht="13.5" customHeight="1" thickBot="1">
      <c r="B20" s="1"/>
      <c r="C20" s="2"/>
      <c r="D20" s="1" t="s">
        <v>1</v>
      </c>
      <c r="E20" s="9"/>
      <c r="I20" s="17"/>
      <c r="J20" s="17"/>
    </row>
    <row r="21" spans="2:10" ht="13.5" customHeight="1" thickBot="1">
      <c r="B21" s="1"/>
      <c r="C21" s="2"/>
      <c r="D21" s="21" t="s">
        <v>139</v>
      </c>
      <c r="E21" s="46" t="s">
        <v>151</v>
      </c>
      <c r="F21" s="33" t="s">
        <v>152</v>
      </c>
      <c r="G21" s="24" t="s">
        <v>140</v>
      </c>
      <c r="I21" s="17"/>
      <c r="J21" s="17"/>
    </row>
    <row r="22" spans="2:10" ht="13.5" customHeight="1" thickBot="1">
      <c r="B22" s="1"/>
      <c r="C22" s="2"/>
      <c r="D22" s="21" t="s">
        <v>141</v>
      </c>
      <c r="E22" s="46" t="s">
        <v>153</v>
      </c>
      <c r="F22" s="33" t="s">
        <v>154</v>
      </c>
      <c r="G22" s="24" t="s">
        <v>142</v>
      </c>
      <c r="I22" s="17"/>
      <c r="J22" s="17"/>
    </row>
    <row r="23" spans="2:10" ht="13.5" customHeight="1" thickBot="1">
      <c r="B23" s="1"/>
      <c r="C23" s="2"/>
      <c r="D23" s="1" t="s">
        <v>2</v>
      </c>
      <c r="E23" s="45"/>
      <c r="F23" s="2"/>
      <c r="G23" s="8"/>
      <c r="I23" s="17"/>
      <c r="J23" s="17"/>
    </row>
    <row r="24" spans="2:9" ht="13.5" customHeight="1" thickBot="1">
      <c r="B24" s="1"/>
      <c r="C24" s="2"/>
      <c r="D24" s="21" t="s">
        <v>139</v>
      </c>
      <c r="E24" s="22">
        <f>$T$5</f>
        <v>10</v>
      </c>
      <c r="F24" s="22">
        <f>$T$6</f>
        <v>-0.2</v>
      </c>
      <c r="G24" s="24" t="s">
        <v>140</v>
      </c>
      <c r="H24" s="81"/>
      <c r="I24"/>
    </row>
    <row r="25" spans="2:21" ht="13.5" customHeight="1" thickBot="1">
      <c r="B25" s="1"/>
      <c r="C25" s="2"/>
      <c r="D25" s="13" t="s">
        <v>141</v>
      </c>
      <c r="E25" s="14">
        <f>$T$7</f>
        <v>0.6</v>
      </c>
      <c r="F25" s="39">
        <f>$T$8</f>
        <v>0.2</v>
      </c>
      <c r="G25" s="19" t="s">
        <v>142</v>
      </c>
      <c r="H25" s="81"/>
      <c r="I25"/>
      <c r="S25" s="44"/>
      <c r="T25" s="17"/>
      <c r="U25" s="17"/>
    </row>
    <row r="26" spans="2:21" ht="13.5" customHeight="1" thickBot="1">
      <c r="B26" s="1"/>
      <c r="C26" s="2"/>
      <c r="D26" s="1" t="s">
        <v>149</v>
      </c>
      <c r="E26" s="9"/>
      <c r="I26" s="17"/>
      <c r="J26" s="17"/>
      <c r="S26" s="44"/>
      <c r="T26" s="17"/>
      <c r="U26" s="17"/>
    </row>
    <row r="27" spans="2:21" ht="13.5" customHeight="1" thickBot="1">
      <c r="B27" s="1"/>
      <c r="C27" s="2"/>
      <c r="D27" s="21" t="s">
        <v>143</v>
      </c>
      <c r="E27" s="22"/>
      <c r="F27" s="40"/>
      <c r="G27" s="47"/>
      <c r="I27" s="17"/>
      <c r="J27" s="17"/>
      <c r="S27" s="44"/>
      <c r="T27" s="17"/>
      <c r="U27" s="17"/>
    </row>
    <row r="28" spans="2:21" ht="13.5" customHeight="1" thickBot="1">
      <c r="B28" s="1"/>
      <c r="C28" s="2"/>
      <c r="D28" s="21" t="s">
        <v>144</v>
      </c>
      <c r="E28" s="30"/>
      <c r="G28"/>
      <c r="J28" s="17"/>
      <c r="S28" s="44"/>
      <c r="T28" s="17"/>
      <c r="U28" s="17"/>
    </row>
    <row r="29" spans="2:21" ht="13.5" customHeight="1" thickBot="1">
      <c r="B29" s="1"/>
      <c r="C29" s="2"/>
      <c r="D29" s="13" t="s">
        <v>146</v>
      </c>
      <c r="E29" s="28"/>
      <c r="I29" s="17"/>
      <c r="J29" s="17"/>
      <c r="S29" s="44"/>
      <c r="T29" s="17"/>
      <c r="U29" s="17"/>
    </row>
    <row r="30" spans="2:21" ht="13.5" customHeight="1" thickBot="1">
      <c r="B30" s="1"/>
      <c r="C30" s="2"/>
      <c r="D30" s="43" t="s">
        <v>157</v>
      </c>
      <c r="E30" s="42"/>
      <c r="I30" s="17"/>
      <c r="J30" s="17"/>
      <c r="S30" s="44"/>
      <c r="T30" s="17"/>
      <c r="U30" s="17"/>
    </row>
    <row r="31" spans="2:21" ht="13.5" customHeight="1" thickBot="1">
      <c r="B31" s="1"/>
      <c r="C31" s="2"/>
      <c r="D31" s="21" t="s">
        <v>145</v>
      </c>
      <c r="E31" s="27"/>
      <c r="F31" s="71"/>
      <c r="G31" s="77"/>
      <c r="H31" s="78"/>
      <c r="I31" s="17"/>
      <c r="J31" s="17"/>
      <c r="S31" s="44"/>
      <c r="T31" s="17"/>
      <c r="U31" s="17"/>
    </row>
    <row r="32" spans="2:21" ht="13.5" customHeight="1" thickBot="1">
      <c r="B32" s="1"/>
      <c r="C32" s="2"/>
      <c r="D32" s="43" t="s">
        <v>150</v>
      </c>
      <c r="E32" s="42"/>
      <c r="I32" s="17"/>
      <c r="J32" s="17"/>
      <c r="S32" s="44"/>
      <c r="T32" s="17"/>
      <c r="U32" s="17"/>
    </row>
    <row r="33" spans="2:21" ht="13.5" customHeight="1" thickBot="1">
      <c r="B33" s="1"/>
      <c r="C33" s="2"/>
      <c r="D33" s="21" t="s">
        <v>147</v>
      </c>
      <c r="E33" s="30"/>
      <c r="F33" s="66"/>
      <c r="G33" s="79"/>
      <c r="H33" s="68"/>
      <c r="I33" s="80"/>
      <c r="J33" s="17"/>
      <c r="K33" s="17"/>
      <c r="S33" s="44"/>
      <c r="T33" s="17"/>
      <c r="U33" s="17"/>
    </row>
    <row r="34" spans="2:10" ht="13.5" customHeight="1" thickBot="1">
      <c r="B34" s="1"/>
      <c r="C34" s="2"/>
      <c r="D34" s="43"/>
      <c r="E34" s="42"/>
      <c r="I34" s="17"/>
      <c r="J34" s="17"/>
    </row>
    <row r="35" spans="2:11" ht="13.5" customHeight="1" thickBot="1">
      <c r="B35" s="1"/>
      <c r="C35" s="2"/>
      <c r="D35" s="168"/>
      <c r="E35" s="113"/>
      <c r="F35" s="114"/>
      <c r="G35" s="115" t="s">
        <v>160</v>
      </c>
      <c r="H35" s="114"/>
      <c r="I35" s="116"/>
      <c r="J35" s="169"/>
      <c r="K35" s="166"/>
    </row>
    <row r="36" spans="2:10" ht="13.5" customHeight="1">
      <c r="B36" s="1"/>
      <c r="C36" s="2"/>
      <c r="D36" s="43" t="s">
        <v>155</v>
      </c>
      <c r="E36" s="42"/>
      <c r="I36" s="17"/>
      <c r="J36" s="17"/>
    </row>
    <row r="37" spans="2:10" ht="13.5" customHeight="1" thickBot="1">
      <c r="B37" s="1"/>
      <c r="C37" s="2"/>
      <c r="D37" s="1" t="s">
        <v>156</v>
      </c>
      <c r="E37" s="9"/>
      <c r="H37" s="29"/>
      <c r="I37" s="29"/>
      <c r="J37"/>
    </row>
    <row r="38" spans="2:11" ht="13.5" customHeight="1" thickBot="1">
      <c r="B38" s="1"/>
      <c r="C38" s="2" t="s">
        <v>89</v>
      </c>
      <c r="D38" s="171"/>
      <c r="E38" s="117"/>
      <c r="F38" s="114"/>
      <c r="G38" s="115" t="s">
        <v>88</v>
      </c>
      <c r="H38" s="118"/>
      <c r="I38" s="118"/>
      <c r="J38" s="170"/>
      <c r="K38" s="166"/>
    </row>
    <row r="39" spans="2:10" ht="13.5" customHeight="1">
      <c r="B39" s="1"/>
      <c r="C39" s="2"/>
      <c r="D39" s="1" t="s">
        <v>109</v>
      </c>
      <c r="E39" s="9"/>
      <c r="H39" s="29"/>
      <c r="I39" s="29"/>
      <c r="J39"/>
    </row>
    <row r="40" spans="2:10" ht="13.5" customHeight="1">
      <c r="B40" s="1"/>
      <c r="C40" s="2"/>
      <c r="D40" s="1" t="s">
        <v>110</v>
      </c>
      <c r="E40" s="9"/>
      <c r="H40" s="29"/>
      <c r="I40" s="29"/>
      <c r="J40"/>
    </row>
    <row r="41" spans="2:10" ht="13.5" customHeight="1" thickBot="1">
      <c r="B41" s="1"/>
      <c r="C41" s="2"/>
      <c r="D41" s="1" t="s">
        <v>75</v>
      </c>
      <c r="E41" s="9"/>
      <c r="H41" s="29"/>
      <c r="I41" s="29"/>
      <c r="J41"/>
    </row>
    <row r="42" spans="2:10" ht="13.5" customHeight="1" thickBot="1">
      <c r="B42" s="1"/>
      <c r="C42" s="2"/>
      <c r="D42" s="21" t="str">
        <f>D24</f>
        <v>Pd=</v>
      </c>
      <c r="E42" s="58">
        <f>$E$167</f>
        <v>10</v>
      </c>
      <c r="F42" s="58">
        <f>$F$167</f>
        <v>-0.2</v>
      </c>
      <c r="G42" s="83" t="str">
        <f>G24</f>
        <v>Qd</v>
      </c>
      <c r="H42" s="1" t="s">
        <v>4</v>
      </c>
      <c r="I42" s="29"/>
      <c r="J42"/>
    </row>
    <row r="43" spans="2:10" ht="13.5" customHeight="1" thickBot="1">
      <c r="B43" s="1"/>
      <c r="C43" s="2"/>
      <c r="D43" s="21" t="str">
        <f>$D$168</f>
        <v>Ps=</v>
      </c>
      <c r="E43" s="58">
        <f>$E$168</f>
        <v>0.6</v>
      </c>
      <c r="F43" s="92">
        <f>$F$168</f>
        <v>0.2</v>
      </c>
      <c r="G43" s="83" t="str">
        <f>G25</f>
        <v>Qs</v>
      </c>
      <c r="H43" s="1" t="s">
        <v>5</v>
      </c>
      <c r="I43" s="29"/>
      <c r="J43"/>
    </row>
    <row r="44" spans="2:10" ht="13.5" customHeight="1" thickBot="1">
      <c r="B44" s="1"/>
      <c r="C44" s="2"/>
      <c r="D44" s="21" t="s">
        <v>3</v>
      </c>
      <c r="E44" s="22">
        <f>$T$9</f>
        <v>0.24</v>
      </c>
      <c r="F44" s="93">
        <f>$T$10</f>
        <v>0.45</v>
      </c>
      <c r="G44" s="24" t="s">
        <v>142</v>
      </c>
      <c r="H44" s="1" t="s">
        <v>111</v>
      </c>
      <c r="I44" s="29"/>
      <c r="J44"/>
    </row>
    <row r="45" spans="2:10" ht="13.5" customHeight="1">
      <c r="B45" s="1"/>
      <c r="C45" s="2"/>
      <c r="D45" s="1" t="s">
        <v>6</v>
      </c>
      <c r="E45" s="9"/>
      <c r="I45" s="29"/>
      <c r="J45"/>
    </row>
    <row r="46" spans="2:10" ht="13.5" customHeight="1" thickBot="1">
      <c r="B46" s="1"/>
      <c r="C46" s="2"/>
      <c r="D46" s="1" t="s">
        <v>131</v>
      </c>
      <c r="E46" s="9"/>
      <c r="I46" s="29"/>
      <c r="J46"/>
    </row>
    <row r="47" spans="2:10" ht="13.5" customHeight="1" thickBot="1">
      <c r="B47" s="1"/>
      <c r="C47" s="2"/>
      <c r="D47" s="21" t="s">
        <v>132</v>
      </c>
      <c r="E47" s="103"/>
      <c r="F47" s="84"/>
      <c r="G47" s="77"/>
      <c r="H47" s="78"/>
      <c r="I47" s="29"/>
      <c r="J47"/>
    </row>
    <row r="48" spans="2:10" ht="13.5" customHeight="1" thickBot="1">
      <c r="B48" s="1"/>
      <c r="C48" s="2"/>
      <c r="D48" s="1" t="s">
        <v>133</v>
      </c>
      <c r="E48" s="9"/>
      <c r="I48" s="29"/>
      <c r="J48"/>
    </row>
    <row r="49" spans="2:10" ht="13.5" customHeight="1" thickBot="1">
      <c r="B49" s="1"/>
      <c r="C49" s="2"/>
      <c r="D49" s="86">
        <f>$T$11</f>
        <v>0.5</v>
      </c>
      <c r="E49" s="1" t="s">
        <v>190</v>
      </c>
      <c r="G49" s="57"/>
      <c r="H49" s="1" t="s">
        <v>34</v>
      </c>
      <c r="I49" s="29"/>
      <c r="J49"/>
    </row>
    <row r="50" spans="2:10" ht="13.5" customHeight="1" thickBot="1">
      <c r="B50" s="1"/>
      <c r="C50" s="2"/>
      <c r="D50" s="57"/>
      <c r="E50" s="1" t="s">
        <v>188</v>
      </c>
      <c r="F50" s="1" t="s">
        <v>189</v>
      </c>
      <c r="H50" s="29"/>
      <c r="I50" s="29"/>
      <c r="J50"/>
    </row>
    <row r="51" spans="2:10" ht="13.5" customHeight="1">
      <c r="B51" s="1"/>
      <c r="C51" s="2"/>
      <c r="D51" s="105" t="s">
        <v>74</v>
      </c>
      <c r="E51" s="9"/>
      <c r="H51" s="29"/>
      <c r="I51" s="29"/>
      <c r="J51"/>
    </row>
    <row r="52" spans="2:10" ht="13.5" customHeight="1">
      <c r="B52" s="1"/>
      <c r="C52" s="2"/>
      <c r="D52" s="105" t="s">
        <v>76</v>
      </c>
      <c r="E52" s="9"/>
      <c r="H52" s="29"/>
      <c r="I52" s="29"/>
      <c r="J52"/>
    </row>
    <row r="53" spans="2:10" ht="13.5" customHeight="1" thickBot="1">
      <c r="B53" s="1"/>
      <c r="C53" s="2"/>
      <c r="D53" s="105" t="s">
        <v>77</v>
      </c>
      <c r="E53" s="9"/>
      <c r="H53" s="29"/>
      <c r="I53" s="29"/>
      <c r="J53"/>
    </row>
    <row r="54" spans="2:10" ht="13.5" customHeight="1" thickBot="1">
      <c r="B54" s="1"/>
      <c r="C54" s="2"/>
      <c r="D54" s="21" t="s">
        <v>139</v>
      </c>
      <c r="E54" s="22"/>
      <c r="F54" s="88"/>
      <c r="G54" s="89"/>
      <c r="H54" s="90"/>
      <c r="I54" s="91"/>
      <c r="J54" s="1" t="s">
        <v>135</v>
      </c>
    </row>
    <row r="55" spans="2:10" ht="13.5" customHeight="1">
      <c r="B55" s="1"/>
      <c r="C55" s="2"/>
      <c r="D55" s="82" t="s">
        <v>136</v>
      </c>
      <c r="E55" s="9"/>
      <c r="H55" s="29"/>
      <c r="I55" s="29"/>
      <c r="J55"/>
    </row>
    <row r="56" spans="2:10" ht="13.5" customHeight="1" thickBot="1">
      <c r="B56" s="1"/>
      <c r="C56" s="2"/>
      <c r="D56" s="1" t="s">
        <v>40</v>
      </c>
      <c r="E56" s="9"/>
      <c r="H56" s="29"/>
      <c r="I56" s="29"/>
      <c r="J56"/>
    </row>
    <row r="57" spans="2:10" ht="13.5" customHeight="1" thickBot="1">
      <c r="B57" s="1"/>
      <c r="C57" s="2"/>
      <c r="D57" s="21" t="s">
        <v>141</v>
      </c>
      <c r="E57" s="95"/>
      <c r="F57" s="22"/>
      <c r="G57" s="23"/>
      <c r="H57" s="96"/>
      <c r="I57" s="97"/>
      <c r="J57" s="1" t="s">
        <v>184</v>
      </c>
    </row>
    <row r="58" spans="2:10" ht="13.5" customHeight="1" thickBot="1">
      <c r="B58" s="1"/>
      <c r="C58" s="2"/>
      <c r="D58" s="73" t="s">
        <v>182</v>
      </c>
      <c r="E58" s="94"/>
      <c r="F58" s="100"/>
      <c r="G58" s="20" t="s">
        <v>183</v>
      </c>
      <c r="H58" s="29"/>
      <c r="I58" s="29"/>
      <c r="J58"/>
    </row>
    <row r="59" spans="2:8" ht="13.5" customHeight="1" thickBot="1">
      <c r="B59" s="1"/>
      <c r="C59" s="2"/>
      <c r="D59" s="37" t="s">
        <v>78</v>
      </c>
      <c r="E59" s="98"/>
      <c r="F59" s="99"/>
      <c r="G59" s="37"/>
      <c r="H59" s="29"/>
    </row>
    <row r="60" spans="2:8" ht="13.5" customHeight="1" thickBot="1">
      <c r="B60" s="1"/>
      <c r="C60" s="2"/>
      <c r="D60" s="21" t="str">
        <f>D42</f>
        <v>Pd=</v>
      </c>
      <c r="E60" s="58">
        <f>$E$167</f>
        <v>10</v>
      </c>
      <c r="F60" s="58">
        <f>$F$167</f>
        <v>-0.2</v>
      </c>
      <c r="G60" s="83" t="str">
        <f>G43</f>
        <v>Qs</v>
      </c>
      <c r="H60" s="1" t="s">
        <v>79</v>
      </c>
    </row>
    <row r="61" spans="2:15" ht="13.5" customHeight="1" thickBot="1">
      <c r="B61" s="1"/>
      <c r="C61"/>
      <c r="D61" s="21" t="str">
        <f>$D$168</f>
        <v>Ps=</v>
      </c>
      <c r="E61" s="58">
        <f>$E$168+$F$201</f>
        <v>5.406666666666666</v>
      </c>
      <c r="F61" s="92">
        <f>$F$168</f>
        <v>0.2</v>
      </c>
      <c r="G61" s="83" t="str">
        <f>G44</f>
        <v>Qs</v>
      </c>
      <c r="H61" s="106"/>
      <c r="I61" s="1" t="s">
        <v>80</v>
      </c>
      <c r="K61"/>
      <c r="L61"/>
      <c r="M61"/>
      <c r="N61"/>
      <c r="O61"/>
    </row>
    <row r="62" spans="2:15" ht="13.5" customHeight="1" thickBot="1">
      <c r="B62" s="1"/>
      <c r="C62"/>
      <c r="D62" s="21" t="s">
        <v>3</v>
      </c>
      <c r="E62" s="22">
        <v>0.25</v>
      </c>
      <c r="F62" s="93">
        <v>0.4</v>
      </c>
      <c r="G62" s="24" t="s">
        <v>142</v>
      </c>
      <c r="H62" s="106"/>
      <c r="I62" s="1" t="s">
        <v>81</v>
      </c>
      <c r="K62"/>
      <c r="L62"/>
      <c r="M62"/>
      <c r="N62"/>
      <c r="O62"/>
    </row>
    <row r="63" spans="2:15" ht="13.5" customHeight="1" thickBot="1">
      <c r="B63" s="1"/>
      <c r="C63"/>
      <c r="D63"/>
      <c r="E63"/>
      <c r="F63"/>
      <c r="G63"/>
      <c r="H63" s="85"/>
      <c r="I63" s="1" t="s">
        <v>187</v>
      </c>
      <c r="M63"/>
      <c r="N63"/>
      <c r="O63"/>
    </row>
    <row r="64" spans="2:15" ht="13.5" customHeight="1" thickBot="1">
      <c r="B64" s="1"/>
      <c r="C64"/>
      <c r="D64"/>
      <c r="E64"/>
      <c r="F64"/>
      <c r="G64"/>
      <c r="H64" s="152"/>
      <c r="M64"/>
      <c r="N64"/>
      <c r="O64"/>
    </row>
    <row r="65" spans="3:6" ht="13.5" customHeight="1" thickBot="1">
      <c r="C65" s="2"/>
      <c r="D65" s="21" t="s">
        <v>143</v>
      </c>
      <c r="E65" s="103"/>
      <c r="F65" s="99" t="s">
        <v>185</v>
      </c>
    </row>
    <row r="66" spans="3:6" ht="13.5" customHeight="1" thickBot="1">
      <c r="C66" s="2"/>
      <c r="D66" s="21" t="s">
        <v>144</v>
      </c>
      <c r="E66" s="104"/>
      <c r="F66" s="99" t="s">
        <v>186</v>
      </c>
    </row>
    <row r="67" spans="1:6" ht="13.5" customHeight="1" thickBot="1">
      <c r="A67"/>
      <c r="C67" s="2"/>
      <c r="D67" s="21" t="s">
        <v>146</v>
      </c>
      <c r="E67" s="104"/>
      <c r="F67" s="99"/>
    </row>
    <row r="68" spans="1:5" ht="13.5" customHeight="1">
      <c r="A68"/>
      <c r="B68" s="1"/>
      <c r="C68" s="2"/>
      <c r="D68" s="1" t="s">
        <v>82</v>
      </c>
      <c r="E68" s="9"/>
    </row>
    <row r="69" spans="1:9" ht="13.5" customHeight="1" thickBot="1">
      <c r="A69"/>
      <c r="B69" s="1"/>
      <c r="C69" s="2"/>
      <c r="D69" s="1" t="s">
        <v>83</v>
      </c>
      <c r="E69" s="9"/>
      <c r="H69" s="29"/>
      <c r="I69" s="82"/>
    </row>
    <row r="70" spans="2:10" ht="13.5" customHeight="1" thickBot="1">
      <c r="B70" s="1"/>
      <c r="C70" s="2"/>
      <c r="D70" s="1" t="s">
        <v>84</v>
      </c>
      <c r="G70" s="37"/>
      <c r="H70" s="29"/>
      <c r="I70" s="82"/>
      <c r="J70" s="57"/>
    </row>
    <row r="71" spans="2:12" ht="13.5" customHeight="1" thickBot="1">
      <c r="B71" s="1"/>
      <c r="C71" s="2" t="s">
        <v>90</v>
      </c>
      <c r="D71" s="167"/>
      <c r="E71" s="117"/>
      <c r="F71" s="114"/>
      <c r="G71" s="115" t="s">
        <v>91</v>
      </c>
      <c r="H71" s="118"/>
      <c r="I71" s="118"/>
      <c r="J71" s="165"/>
      <c r="K71" s="166"/>
      <c r="L71" s="166"/>
    </row>
    <row r="72" spans="2:12" ht="13.5" customHeight="1">
      <c r="B72" s="1"/>
      <c r="C72" s="2"/>
      <c r="D72" s="37" t="s">
        <v>92</v>
      </c>
      <c r="E72" s="98"/>
      <c r="F72" s="37"/>
      <c r="G72" s="107"/>
      <c r="H72" s="108"/>
      <c r="I72" s="108"/>
      <c r="J72" s="37"/>
      <c r="K72" s="37"/>
      <c r="L72" s="37"/>
    </row>
    <row r="73" spans="2:12" ht="13.5" customHeight="1">
      <c r="B73" s="1"/>
      <c r="C73" s="2"/>
      <c r="D73" s="37" t="s">
        <v>112</v>
      </c>
      <c r="E73" s="98"/>
      <c r="F73" s="37"/>
      <c r="G73" s="107"/>
      <c r="H73" s="108"/>
      <c r="I73" s="108"/>
      <c r="J73" s="37"/>
      <c r="K73" s="37"/>
      <c r="L73" s="37"/>
    </row>
    <row r="74" spans="2:12" ht="13.5" customHeight="1">
      <c r="B74" s="1"/>
      <c r="C74" s="2"/>
      <c r="D74" s="37" t="s">
        <v>113</v>
      </c>
      <c r="E74" s="98"/>
      <c r="F74" s="37"/>
      <c r="G74" s="107"/>
      <c r="H74" s="108"/>
      <c r="I74" s="108"/>
      <c r="J74" s="37"/>
      <c r="K74" s="37"/>
      <c r="L74" s="37"/>
    </row>
    <row r="75" spans="2:12" ht="13.5" customHeight="1">
      <c r="B75" s="1"/>
      <c r="C75" s="2"/>
      <c r="D75" s="37" t="s">
        <v>114</v>
      </c>
      <c r="E75" s="98"/>
      <c r="F75" s="37"/>
      <c r="G75" s="107"/>
      <c r="H75" s="108"/>
      <c r="I75" s="108"/>
      <c r="J75" s="37"/>
      <c r="K75" s="37"/>
      <c r="L75" s="37"/>
    </row>
    <row r="76" spans="2:12" ht="13.5" customHeight="1">
      <c r="B76" s="1"/>
      <c r="C76" s="2"/>
      <c r="D76" s="37" t="s">
        <v>71</v>
      </c>
      <c r="E76" s="98"/>
      <c r="F76" s="37"/>
      <c r="G76" s="107"/>
      <c r="H76" s="108"/>
      <c r="I76" s="108"/>
      <c r="J76" s="37"/>
      <c r="K76" s="37"/>
      <c r="L76" s="37"/>
    </row>
    <row r="77" spans="2:12" ht="13.5" customHeight="1">
      <c r="B77" s="1"/>
      <c r="C77" s="2"/>
      <c r="D77" s="37" t="s">
        <v>72</v>
      </c>
      <c r="E77" s="98"/>
      <c r="F77" s="37"/>
      <c r="G77" s="107"/>
      <c r="H77" s="108"/>
      <c r="I77" s="108"/>
      <c r="J77" s="37"/>
      <c r="K77" s="37"/>
      <c r="L77" s="37"/>
    </row>
    <row r="78" spans="2:12" ht="13.5" customHeight="1" thickBot="1">
      <c r="B78" s="1"/>
      <c r="C78" s="2"/>
      <c r="D78" s="37" t="s">
        <v>73</v>
      </c>
      <c r="E78" s="98"/>
      <c r="F78" s="37"/>
      <c r="G78" s="107"/>
      <c r="H78" s="108"/>
      <c r="I78" s="108"/>
      <c r="J78" s="37"/>
      <c r="K78" s="37"/>
      <c r="L78" s="37"/>
    </row>
    <row r="79" spans="2:9" ht="13.5" customHeight="1" thickBot="1">
      <c r="B79" s="1"/>
      <c r="C79" s="2"/>
      <c r="D79" s="21" t="str">
        <f>$D$167</f>
        <v>Pd=</v>
      </c>
      <c r="E79" s="22">
        <f>$T$5</f>
        <v>10</v>
      </c>
      <c r="F79" s="22">
        <f>$T$6</f>
        <v>-0.2</v>
      </c>
      <c r="G79" s="24" t="str">
        <f>$G$167</f>
        <v>Qd</v>
      </c>
      <c r="H79" s="1" t="s">
        <v>93</v>
      </c>
      <c r="I79" s="44"/>
    </row>
    <row r="80" spans="2:9" ht="13.5" customHeight="1" thickBot="1">
      <c r="B80" s="1"/>
      <c r="C80" s="2"/>
      <c r="D80" s="21" t="str">
        <f>$D$168</f>
        <v>Ps=</v>
      </c>
      <c r="E80" s="22">
        <f>$T$7</f>
        <v>0.6</v>
      </c>
      <c r="F80" s="93">
        <f>$T$8</f>
        <v>0.2</v>
      </c>
      <c r="G80" s="24" t="str">
        <f>$G$168</f>
        <v>Qs</v>
      </c>
      <c r="H80" s="1" t="s">
        <v>94</v>
      </c>
      <c r="I80" s="44"/>
    </row>
    <row r="81" spans="2:9" ht="13.5" customHeight="1" thickBot="1">
      <c r="B81" s="1"/>
      <c r="C81" s="2"/>
      <c r="D81" s="43" t="s">
        <v>96</v>
      </c>
      <c r="E81" s="49"/>
      <c r="F81" s="110"/>
      <c r="G81" s="18"/>
      <c r="I81" s="44"/>
    </row>
    <row r="82" spans="2:9" ht="13.5" customHeight="1" thickBot="1">
      <c r="B82" s="1"/>
      <c r="C82" s="2"/>
      <c r="D82" s="21" t="s">
        <v>143</v>
      </c>
      <c r="E82" s="22"/>
      <c r="F82" s="110"/>
      <c r="G82" s="37" t="s">
        <v>97</v>
      </c>
      <c r="I82" s="44"/>
    </row>
    <row r="83" spans="2:9" ht="13.5" customHeight="1" thickBot="1">
      <c r="B83" s="1"/>
      <c r="C83" s="2"/>
      <c r="D83" s="21" t="s">
        <v>144</v>
      </c>
      <c r="E83" s="30"/>
      <c r="F83" s="110"/>
      <c r="G83" s="111"/>
      <c r="I83" s="44"/>
    </row>
    <row r="84" spans="2:9" ht="13.5" customHeight="1" thickBot="1">
      <c r="B84" s="1"/>
      <c r="C84" s="2"/>
      <c r="D84" s="13" t="s">
        <v>146</v>
      </c>
      <c r="E84" s="28"/>
      <c r="F84" s="110"/>
      <c r="G84" s="37"/>
      <c r="I84" s="44"/>
    </row>
    <row r="85" spans="2:10" ht="13.5" customHeight="1" thickBot="1">
      <c r="B85" s="1"/>
      <c r="C85" s="2"/>
      <c r="D85" s="1" t="s">
        <v>95</v>
      </c>
      <c r="G85" s="16">
        <f>$T$12</f>
        <v>2</v>
      </c>
      <c r="H85" s="1" t="s">
        <v>158</v>
      </c>
      <c r="I85" s="17"/>
      <c r="J85"/>
    </row>
    <row r="86" spans="2:10" ht="13.5" customHeight="1" thickBot="1">
      <c r="B86" s="1"/>
      <c r="C86" s="2"/>
      <c r="D86" s="1" t="s">
        <v>159</v>
      </c>
      <c r="E86" s="29"/>
      <c r="F86" s="29"/>
      <c r="G86" s="29"/>
      <c r="I86" s="17"/>
      <c r="J86" s="17"/>
    </row>
    <row r="87" spans="2:11" ht="13.5" customHeight="1">
      <c r="B87" s="1"/>
      <c r="C87" s="2"/>
      <c r="D87" s="10" t="s">
        <v>139</v>
      </c>
      <c r="E87" s="11">
        <f>$T$5</f>
        <v>10</v>
      </c>
      <c r="F87" s="11">
        <f>$T$6</f>
        <v>-0.2</v>
      </c>
      <c r="G87" s="12" t="str">
        <f>G24</f>
        <v>Qd</v>
      </c>
      <c r="K87" s="17"/>
    </row>
    <row r="88" spans="2:11" ht="13.5" customHeight="1" thickBot="1">
      <c r="B88" s="1"/>
      <c r="C88" s="2"/>
      <c r="D88" s="13" t="s">
        <v>141</v>
      </c>
      <c r="E88" s="14">
        <f>$T$7+$G$227</f>
        <v>2.6</v>
      </c>
      <c r="F88" s="39">
        <f>$T$8</f>
        <v>0.2</v>
      </c>
      <c r="G88" s="15" t="str">
        <f>G25</f>
        <v>Qs</v>
      </c>
      <c r="K88" s="17"/>
    </row>
    <row r="89" spans="2:9" ht="13.5" customHeight="1" thickBot="1">
      <c r="B89" s="1"/>
      <c r="C89" s="2"/>
      <c r="D89" s="1" t="s">
        <v>161</v>
      </c>
      <c r="E89" s="29"/>
      <c r="F89" s="29"/>
      <c r="G89" s="29"/>
      <c r="I89" s="17"/>
    </row>
    <row r="90" spans="2:9" ht="13.5" customHeight="1" thickBot="1">
      <c r="B90" s="1"/>
      <c r="C90" s="2"/>
      <c r="D90" s="21" t="s">
        <v>143</v>
      </c>
      <c r="E90" s="22"/>
      <c r="F90" s="40"/>
      <c r="G90" s="37" t="s">
        <v>99</v>
      </c>
      <c r="I90" s="17"/>
    </row>
    <row r="91" spans="2:12" ht="13.5" customHeight="1" thickBot="1">
      <c r="B91" s="1"/>
      <c r="C91" s="2"/>
      <c r="D91" s="10" t="s">
        <v>144</v>
      </c>
      <c r="E91" s="25"/>
      <c r="G91" s="109"/>
      <c r="H91" s="1" t="s">
        <v>98</v>
      </c>
      <c r="J91" s="51"/>
      <c r="K91" s="32"/>
      <c r="L91" s="153"/>
    </row>
    <row r="92" spans="2:10" ht="13.5" customHeight="1" thickBot="1">
      <c r="B92" s="1"/>
      <c r="C92" s="2"/>
      <c r="D92" s="13" t="s">
        <v>146</v>
      </c>
      <c r="E92" s="28"/>
      <c r="G92" s="1" t="s">
        <v>33</v>
      </c>
      <c r="I92" s="154"/>
      <c r="J92" s="1" t="s">
        <v>87</v>
      </c>
    </row>
    <row r="93" spans="2:8" ht="13.5" customHeight="1" thickBot="1">
      <c r="B93" s="1"/>
      <c r="C93" s="2"/>
      <c r="D93" s="52" t="s">
        <v>162</v>
      </c>
      <c r="E93" s="34"/>
      <c r="F93" s="30"/>
      <c r="G93" s="112"/>
      <c r="H93" s="80"/>
    </row>
    <row r="94" spans="2:8" ht="13.5" customHeight="1">
      <c r="B94" s="1"/>
      <c r="C94" s="2"/>
      <c r="D94" s="54" t="s">
        <v>163</v>
      </c>
      <c r="E94" s="53"/>
      <c r="F94" s="18"/>
      <c r="G94" s="47"/>
      <c r="H94" s="42"/>
    </row>
    <row r="95" spans="2:8" ht="13.5" customHeight="1">
      <c r="B95" s="1"/>
      <c r="C95" s="2"/>
      <c r="D95" s="37" t="s">
        <v>164</v>
      </c>
      <c r="E95" s="55"/>
      <c r="F95" s="47"/>
      <c r="G95" s="47"/>
      <c r="H95" s="42"/>
    </row>
    <row r="96" spans="2:10" ht="13.5" customHeight="1" thickBot="1">
      <c r="B96" s="1"/>
      <c r="C96" s="2"/>
      <c r="D96" s="37" t="s">
        <v>165</v>
      </c>
      <c r="E96" s="55"/>
      <c r="F96" s="47"/>
      <c r="G96" s="47"/>
      <c r="H96" s="42"/>
      <c r="J96" s="50"/>
    </row>
    <row r="97" spans="2:11" ht="13.5" customHeight="1" thickBot="1">
      <c r="B97" s="1"/>
      <c r="C97" s="2"/>
      <c r="D97" s="21" t="str">
        <f aca="true" t="shared" si="0" ref="D97:G98">D87</f>
        <v>Pd=</v>
      </c>
      <c r="E97" s="58">
        <f t="shared" si="0"/>
        <v>10</v>
      </c>
      <c r="F97" s="58">
        <f t="shared" si="0"/>
        <v>-0.2</v>
      </c>
      <c r="G97" s="59" t="str">
        <f t="shared" si="0"/>
        <v>Qd</v>
      </c>
      <c r="H97" s="42"/>
      <c r="I97" s="56"/>
      <c r="J97" s="61"/>
      <c r="K97" s="1" t="s">
        <v>41</v>
      </c>
    </row>
    <row r="98" spans="2:11" ht="13.5" customHeight="1" thickBot="1">
      <c r="B98" s="1"/>
      <c r="C98" s="2"/>
      <c r="D98" s="21" t="str">
        <f t="shared" si="0"/>
        <v>Ps=</v>
      </c>
      <c r="E98" s="58">
        <f t="shared" si="0"/>
        <v>2.6</v>
      </c>
      <c r="F98" s="58">
        <f t="shared" si="0"/>
        <v>0.2</v>
      </c>
      <c r="G98" s="59" t="str">
        <f t="shared" si="0"/>
        <v>Qs</v>
      </c>
      <c r="H98" s="42"/>
      <c r="I98" s="35"/>
      <c r="J98" s="62"/>
      <c r="K98" s="1" t="s">
        <v>42</v>
      </c>
    </row>
    <row r="99" spans="2:11" ht="13.5" customHeight="1" thickBot="1">
      <c r="B99" s="1"/>
      <c r="C99" s="2"/>
      <c r="D99" s="37"/>
      <c r="E99" s="55"/>
      <c r="F99" s="47"/>
      <c r="G99" s="47"/>
      <c r="H99" s="42"/>
      <c r="I99" s="57"/>
      <c r="J99" s="63"/>
      <c r="K99" s="1" t="s">
        <v>43</v>
      </c>
    </row>
    <row r="100" spans="2:8" ht="13.5" customHeight="1">
      <c r="B100" s="1"/>
      <c r="C100" s="2"/>
      <c r="D100" s="37" t="s">
        <v>166</v>
      </c>
      <c r="E100" s="55"/>
      <c r="F100" s="47"/>
      <c r="G100" s="47"/>
      <c r="H100" s="42"/>
    </row>
    <row r="101" spans="2:8" ht="13.5" customHeight="1">
      <c r="B101" s="1"/>
      <c r="C101" s="2"/>
      <c r="D101" s="37" t="s">
        <v>192</v>
      </c>
      <c r="E101" s="55"/>
      <c r="F101" s="47"/>
      <c r="G101" s="47"/>
      <c r="H101" s="42"/>
    </row>
    <row r="102" spans="2:8" ht="13.5" customHeight="1" thickBot="1">
      <c r="B102" s="1"/>
      <c r="C102" s="2"/>
      <c r="D102" s="37" t="s">
        <v>193</v>
      </c>
      <c r="E102" s="55"/>
      <c r="F102" s="47"/>
      <c r="G102" s="47"/>
      <c r="H102" s="42"/>
    </row>
    <row r="103" spans="2:10" ht="13.5" customHeight="1" thickBot="1">
      <c r="B103" s="1"/>
      <c r="C103" s="2"/>
      <c r="D103" s="52"/>
      <c r="E103" s="34"/>
      <c r="F103" s="23"/>
      <c r="G103" s="59" t="s">
        <v>194</v>
      </c>
      <c r="H103" s="65"/>
      <c r="I103" s="66"/>
      <c r="J103" s="70"/>
    </row>
    <row r="104" spans="2:10" ht="13.5" customHeight="1" thickBot="1">
      <c r="B104" s="1"/>
      <c r="C104" s="2"/>
      <c r="D104" s="52"/>
      <c r="E104" s="34"/>
      <c r="F104" s="23"/>
      <c r="G104" s="59" t="s">
        <v>195</v>
      </c>
      <c r="H104" s="64"/>
      <c r="I104" s="66"/>
      <c r="J104" s="70"/>
    </row>
    <row r="105" spans="2:8" ht="13.5" customHeight="1" thickBot="1">
      <c r="B105" s="1"/>
      <c r="C105" s="2"/>
      <c r="D105" s="73"/>
      <c r="E105" s="36"/>
      <c r="F105" s="19"/>
      <c r="G105" s="74" t="s">
        <v>196</v>
      </c>
      <c r="H105" s="65"/>
    </row>
    <row r="106" spans="2:8" ht="13.5" customHeight="1">
      <c r="B106" s="1"/>
      <c r="C106" s="2"/>
      <c r="D106" s="37" t="s">
        <v>197</v>
      </c>
      <c r="E106" s="55"/>
      <c r="F106" s="47"/>
      <c r="G106" s="47"/>
      <c r="H106" s="42"/>
    </row>
    <row r="107" spans="2:8" ht="13.5" customHeight="1">
      <c r="B107" s="1"/>
      <c r="C107" s="2"/>
      <c r="D107" s="37" t="s">
        <v>198</v>
      </c>
      <c r="E107" s="55"/>
      <c r="F107" s="47"/>
      <c r="G107" s="47"/>
      <c r="H107" s="42"/>
    </row>
    <row r="108" spans="2:8" ht="13.5" customHeight="1">
      <c r="B108" s="1"/>
      <c r="C108" s="2"/>
      <c r="D108" s="37" t="s">
        <v>49</v>
      </c>
      <c r="E108" s="55"/>
      <c r="F108" s="47"/>
      <c r="G108" s="47"/>
      <c r="H108" s="42"/>
    </row>
    <row r="109" spans="2:8" ht="13.5" customHeight="1" thickBot="1">
      <c r="B109" s="1"/>
      <c r="C109" s="2"/>
      <c r="D109" s="37" t="s">
        <v>50</v>
      </c>
      <c r="E109" s="55"/>
      <c r="F109" s="47"/>
      <c r="G109" s="47"/>
      <c r="H109" s="42"/>
    </row>
    <row r="110" spans="2:12" ht="13.5" customHeight="1" thickBot="1">
      <c r="B110" s="1"/>
      <c r="C110" s="2"/>
      <c r="D110" s="26"/>
      <c r="E110" s="34"/>
      <c r="F110" s="23"/>
      <c r="G110" s="33" t="s">
        <v>148</v>
      </c>
      <c r="H110" s="30"/>
      <c r="I110" s="66"/>
      <c r="J110" s="67"/>
      <c r="K110" s="68"/>
      <c r="L110" s="69"/>
    </row>
    <row r="111" spans="2:8" ht="13.5" customHeight="1" thickBot="1">
      <c r="B111" s="1"/>
      <c r="C111" s="2"/>
      <c r="D111" s="52"/>
      <c r="E111" s="34"/>
      <c r="F111" s="23"/>
      <c r="G111" s="33" t="s">
        <v>51</v>
      </c>
      <c r="H111" s="30"/>
    </row>
    <row r="112" spans="2:15" ht="13.5" customHeight="1" thickBot="1">
      <c r="B112" s="1"/>
      <c r="C112" s="2"/>
      <c r="D112" s="52"/>
      <c r="E112" s="31"/>
      <c r="F112" s="32"/>
      <c r="G112" s="33" t="s">
        <v>52</v>
      </c>
      <c r="H112" s="38"/>
      <c r="I112" s="71"/>
      <c r="J112" s="72"/>
      <c r="M112"/>
      <c r="N112"/>
      <c r="O112"/>
    </row>
    <row r="113" spans="2:15" ht="13.5" customHeight="1">
      <c r="B113" s="1"/>
      <c r="C113" s="2"/>
      <c r="D113" s="1" t="s">
        <v>53</v>
      </c>
      <c r="M113"/>
      <c r="N113"/>
      <c r="O113"/>
    </row>
    <row r="114" spans="2:15" ht="13.5" customHeight="1">
      <c r="B114" s="1"/>
      <c r="C114" s="2"/>
      <c r="D114" s="1" t="s">
        <v>100</v>
      </c>
      <c r="M114"/>
      <c r="N114"/>
      <c r="O114"/>
    </row>
    <row r="115" spans="2:15" ht="13.5" customHeight="1" thickBot="1">
      <c r="B115" s="1"/>
      <c r="C115" s="2"/>
      <c r="I115" s="47"/>
      <c r="M115"/>
      <c r="N115"/>
      <c r="O115"/>
    </row>
    <row r="116" spans="2:15" ht="13.5" customHeight="1" thickBot="1">
      <c r="B116" s="1"/>
      <c r="C116" s="2" t="s">
        <v>44</v>
      </c>
      <c r="D116" s="168"/>
      <c r="E116" s="113"/>
      <c r="F116" s="114"/>
      <c r="G116" s="115" t="s">
        <v>45</v>
      </c>
      <c r="H116" s="114"/>
      <c r="I116" s="116"/>
      <c r="J116" s="169"/>
      <c r="K116" s="166"/>
      <c r="M116"/>
      <c r="N116"/>
      <c r="O116"/>
    </row>
    <row r="117" spans="2:15" ht="13.5" customHeight="1">
      <c r="B117" s="1"/>
      <c r="C117" s="2"/>
      <c r="D117" s="1" t="s">
        <v>101</v>
      </c>
      <c r="M117"/>
      <c r="N117"/>
      <c r="O117"/>
    </row>
    <row r="118" spans="2:15" ht="13.5" customHeight="1">
      <c r="B118" s="1"/>
      <c r="C118" s="2"/>
      <c r="D118" s="1" t="s">
        <v>47</v>
      </c>
      <c r="M118"/>
      <c r="N118"/>
      <c r="O118"/>
    </row>
    <row r="119" spans="2:15" ht="13.5" customHeight="1">
      <c r="B119" s="1"/>
      <c r="C119" s="2"/>
      <c r="D119" s="1" t="s">
        <v>48</v>
      </c>
      <c r="M119"/>
      <c r="N119"/>
      <c r="O119"/>
    </row>
    <row r="120" spans="2:15" ht="13.5" customHeight="1">
      <c r="B120" s="1"/>
      <c r="C120" s="2"/>
      <c r="D120" s="1" t="s">
        <v>172</v>
      </c>
      <c r="M120"/>
      <c r="N120"/>
      <c r="O120"/>
    </row>
    <row r="121" spans="2:15" ht="13.5" customHeight="1">
      <c r="B121" s="1"/>
      <c r="C121" s="2"/>
      <c r="D121" s="1" t="s">
        <v>173</v>
      </c>
      <c r="M121"/>
      <c r="N121"/>
      <c r="O121"/>
    </row>
    <row r="122" spans="2:4" ht="13.5" customHeight="1">
      <c r="B122" s="1"/>
      <c r="C122" s="2"/>
      <c r="D122" s="1" t="s">
        <v>169</v>
      </c>
    </row>
    <row r="123" spans="2:4" ht="13.5" customHeight="1">
      <c r="B123" s="1"/>
      <c r="C123" s="2"/>
      <c r="D123" s="1" t="s">
        <v>170</v>
      </c>
    </row>
    <row r="124" spans="2:4" ht="13.5" customHeight="1" thickBot="1">
      <c r="B124" s="1"/>
      <c r="C124" s="2"/>
      <c r="D124" s="1" t="s">
        <v>46</v>
      </c>
    </row>
    <row r="125" spans="2:7" ht="13.5" customHeight="1" thickBot="1">
      <c r="B125" s="1"/>
      <c r="C125" s="2"/>
      <c r="D125" s="21" t="s">
        <v>139</v>
      </c>
      <c r="E125" s="22">
        <f>$T$5</f>
        <v>10</v>
      </c>
      <c r="F125" s="22">
        <f>$T$6</f>
        <v>-0.2</v>
      </c>
      <c r="G125" s="24" t="s">
        <v>140</v>
      </c>
    </row>
    <row r="126" spans="2:7" ht="13.5" customHeight="1" thickBot="1">
      <c r="B126" s="1"/>
      <c r="C126" s="2"/>
      <c r="D126" s="13" t="s">
        <v>141</v>
      </c>
      <c r="E126" s="14">
        <f>$T$7</f>
        <v>0.6</v>
      </c>
      <c r="F126" s="39">
        <f>$T$8</f>
        <v>0.2</v>
      </c>
      <c r="G126" s="24" t="s">
        <v>142</v>
      </c>
    </row>
    <row r="127" spans="2:7" ht="13.5" customHeight="1">
      <c r="B127" s="1"/>
      <c r="C127" s="2"/>
      <c r="D127" s="41"/>
      <c r="E127" s="49"/>
      <c r="F127" s="110"/>
      <c r="G127" s="47"/>
    </row>
    <row r="128" spans="2:7" ht="13.5" customHeight="1">
      <c r="B128" s="1"/>
      <c r="C128" s="2"/>
      <c r="D128" s="41"/>
      <c r="E128" s="49"/>
      <c r="F128" s="110"/>
      <c r="G128" s="47"/>
    </row>
    <row r="129" spans="2:5" ht="13.5" customHeight="1" thickBot="1">
      <c r="B129" s="1"/>
      <c r="C129" s="2"/>
      <c r="D129" s="1" t="s">
        <v>149</v>
      </c>
      <c r="E129" s="9"/>
    </row>
    <row r="130" spans="2:7" ht="13.5" customHeight="1" thickBot="1">
      <c r="B130" s="1"/>
      <c r="C130" s="2"/>
      <c r="D130" s="21" t="s">
        <v>143</v>
      </c>
      <c r="E130" s="22"/>
      <c r="F130" s="40"/>
      <c r="G130" s="1" t="s">
        <v>16</v>
      </c>
    </row>
    <row r="131" spans="2:7" ht="13.5" customHeight="1" thickBot="1">
      <c r="B131" s="1"/>
      <c r="C131" s="2"/>
      <c r="D131" s="21" t="s">
        <v>144</v>
      </c>
      <c r="E131" s="30"/>
      <c r="G131" s="109"/>
    </row>
    <row r="132" spans="2:5" ht="13.5" customHeight="1" thickBot="1">
      <c r="B132" s="1"/>
      <c r="C132" s="2"/>
      <c r="D132" s="13" t="s">
        <v>146</v>
      </c>
      <c r="E132" s="28"/>
    </row>
    <row r="133" spans="2:4" ht="13.5" customHeight="1">
      <c r="B133" s="1"/>
      <c r="C133" s="2"/>
      <c r="D133" s="1" t="s">
        <v>175</v>
      </c>
    </row>
    <row r="134" spans="2:4" ht="13.5" customHeight="1" thickBot="1">
      <c r="B134" s="1"/>
      <c r="C134" s="2"/>
      <c r="D134" s="1" t="s">
        <v>176</v>
      </c>
    </row>
    <row r="135" spans="2:10" ht="13.5" customHeight="1" thickBot="1">
      <c r="B135" s="1"/>
      <c r="C135" s="2"/>
      <c r="D135" s="21"/>
      <c r="E135" s="33" t="s">
        <v>177</v>
      </c>
      <c r="F135" s="22"/>
      <c r="G135" s="23" t="s">
        <v>174</v>
      </c>
      <c r="H135" s="22"/>
      <c r="I135" s="24" t="s">
        <v>180</v>
      </c>
      <c r="J135" s="1" t="s">
        <v>168</v>
      </c>
    </row>
    <row r="136" spans="2:9" ht="13.5" customHeight="1" thickBot="1">
      <c r="B136" s="1"/>
      <c r="D136" s="52"/>
      <c r="E136" s="33"/>
      <c r="F136" s="33" t="s">
        <v>167</v>
      </c>
      <c r="G136" s="22"/>
      <c r="H136" s="22"/>
      <c r="I136" s="24" t="s">
        <v>174</v>
      </c>
    </row>
    <row r="137" spans="2:9" ht="13.5" customHeight="1">
      <c r="B137" s="1"/>
      <c r="D137" s="37" t="s">
        <v>171</v>
      </c>
      <c r="E137" s="41"/>
      <c r="F137" s="41"/>
      <c r="G137" s="49"/>
      <c r="H137" s="49"/>
      <c r="I137" s="47"/>
    </row>
    <row r="138" spans="2:9" ht="13.5" customHeight="1" thickBot="1">
      <c r="B138" s="1"/>
      <c r="D138" s="37" t="s">
        <v>19</v>
      </c>
      <c r="E138" s="41"/>
      <c r="F138" s="41"/>
      <c r="G138" s="49"/>
      <c r="H138" s="49"/>
      <c r="I138" s="47"/>
    </row>
    <row r="139" spans="2:9" ht="13.5" customHeight="1" thickBot="1">
      <c r="B139" s="1"/>
      <c r="D139" s="21"/>
      <c r="E139" s="33" t="s">
        <v>20</v>
      </c>
      <c r="F139" s="103"/>
      <c r="G139" s="146"/>
      <c r="H139" s="148"/>
      <c r="I139" s="147"/>
    </row>
    <row r="140" spans="2:9" ht="13.5" customHeight="1">
      <c r="B140" s="1"/>
      <c r="D140" s="43" t="s">
        <v>21</v>
      </c>
      <c r="E140" s="41"/>
      <c r="F140" s="49"/>
      <c r="G140" s="49"/>
      <c r="H140" s="49"/>
      <c r="I140" s="47"/>
    </row>
    <row r="141" spans="2:9" ht="13.5" customHeight="1" thickBot="1">
      <c r="B141" s="1"/>
      <c r="D141" s="43" t="s">
        <v>22</v>
      </c>
      <c r="E141" s="41"/>
      <c r="F141" s="49"/>
      <c r="G141" s="49"/>
      <c r="H141" s="49"/>
      <c r="I141" s="47"/>
    </row>
    <row r="142" spans="2:8" ht="13.5" customHeight="1" thickBot="1">
      <c r="B142" s="1"/>
      <c r="C142" s="52"/>
      <c r="D142" s="155"/>
      <c r="E142" s="33" t="s">
        <v>178</v>
      </c>
      <c r="F142" s="104"/>
      <c r="G142" s="1" t="s">
        <v>25</v>
      </c>
      <c r="H142"/>
    </row>
    <row r="143" spans="2:8" ht="13.5" customHeight="1" thickBot="1">
      <c r="B143" s="1"/>
      <c r="C143" s="52"/>
      <c r="D143" s="155"/>
      <c r="E143" s="33" t="s">
        <v>179</v>
      </c>
      <c r="F143" s="104"/>
      <c r="G143" s="1" t="s">
        <v>26</v>
      </c>
      <c r="H143"/>
    </row>
    <row r="144" spans="2:9" ht="13.5" customHeight="1" thickBot="1">
      <c r="B144" s="1"/>
      <c r="C144" s="52"/>
      <c r="D144" s="155"/>
      <c r="E144" s="134" t="s">
        <v>23</v>
      </c>
      <c r="F144" s="104"/>
      <c r="G144" s="1" t="s">
        <v>17</v>
      </c>
      <c r="H144" s="122"/>
      <c r="I144" s="1" t="s">
        <v>28</v>
      </c>
    </row>
    <row r="145" spans="2:9" ht="13.5" customHeight="1" thickBot="1">
      <c r="B145" s="1"/>
      <c r="C145" s="52"/>
      <c r="D145" s="155"/>
      <c r="E145" s="134" t="s">
        <v>24</v>
      </c>
      <c r="F145" s="104"/>
      <c r="H145" s="135"/>
      <c r="I145" s="1" t="s">
        <v>29</v>
      </c>
    </row>
    <row r="146" spans="2:9" ht="13.5" customHeight="1" thickBot="1">
      <c r="B146" s="1"/>
      <c r="C146" s="21"/>
      <c r="D146" s="32"/>
      <c r="E146" s="134" t="s">
        <v>129</v>
      </c>
      <c r="F146" s="156"/>
      <c r="G146" s="121"/>
      <c r="H146" s="122"/>
      <c r="I146" s="1" t="s">
        <v>30</v>
      </c>
    </row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9.5" customHeight="1" thickBot="1">
      <c r="G160" s="172" t="s">
        <v>37</v>
      </c>
    </row>
    <row r="161" spans="2:12" ht="13.5" customHeight="1" thickBot="1">
      <c r="B161" s="173" t="s">
        <v>39</v>
      </c>
      <c r="E161" s="119"/>
      <c r="F161" s="157"/>
      <c r="G161" s="115" t="s">
        <v>18</v>
      </c>
      <c r="H161" s="157"/>
      <c r="I161" s="158"/>
      <c r="L161" s="2" t="s">
        <v>35</v>
      </c>
    </row>
    <row r="162" spans="2:11" ht="13.5" customHeight="1" thickBot="1">
      <c r="B162" s="1"/>
      <c r="C162" s="2"/>
      <c r="D162" s="167"/>
      <c r="E162" s="114"/>
      <c r="F162" s="114"/>
      <c r="G162" s="115" t="s">
        <v>108</v>
      </c>
      <c r="H162" s="114"/>
      <c r="I162" s="114"/>
      <c r="J162" s="165"/>
      <c r="K162" s="166"/>
    </row>
    <row r="163" spans="2:10" ht="13.5" customHeight="1" thickBot="1">
      <c r="B163" s="1"/>
      <c r="C163" s="2"/>
      <c r="D163" s="1" t="s">
        <v>1</v>
      </c>
      <c r="E163" s="9"/>
      <c r="I163" s="17"/>
      <c r="J163" s="17"/>
    </row>
    <row r="164" spans="2:10" ht="13.5" customHeight="1" thickBot="1">
      <c r="B164" s="1"/>
      <c r="C164" s="2"/>
      <c r="D164" s="21" t="s">
        <v>139</v>
      </c>
      <c r="E164" s="46" t="s">
        <v>151</v>
      </c>
      <c r="F164" s="33" t="s">
        <v>152</v>
      </c>
      <c r="G164" s="24" t="s">
        <v>140</v>
      </c>
      <c r="I164" s="17"/>
      <c r="J164" s="17"/>
    </row>
    <row r="165" spans="2:10" ht="13.5" customHeight="1" thickBot="1">
      <c r="B165" s="1"/>
      <c r="C165" s="2"/>
      <c r="D165" s="21" t="s">
        <v>141</v>
      </c>
      <c r="E165" s="46" t="s">
        <v>153</v>
      </c>
      <c r="F165" s="33" t="s">
        <v>154</v>
      </c>
      <c r="G165" s="24" t="s">
        <v>142</v>
      </c>
      <c r="I165" s="17"/>
      <c r="J165" s="17"/>
    </row>
    <row r="166" spans="2:10" ht="13.5" customHeight="1" thickBot="1">
      <c r="B166" s="1"/>
      <c r="C166" s="2"/>
      <c r="D166" s="1" t="s">
        <v>2</v>
      </c>
      <c r="E166" s="45"/>
      <c r="F166" s="2"/>
      <c r="G166" s="8"/>
      <c r="I166" s="17"/>
      <c r="J166" s="17"/>
    </row>
    <row r="167" spans="2:9" ht="13.5" customHeight="1" thickBot="1">
      <c r="B167" s="1"/>
      <c r="C167" s="2"/>
      <c r="D167" s="21" t="s">
        <v>139</v>
      </c>
      <c r="E167" s="22">
        <f>$T$5</f>
        <v>10</v>
      </c>
      <c r="F167" s="22">
        <f>$T$6</f>
        <v>-0.2</v>
      </c>
      <c r="G167" s="24" t="s">
        <v>140</v>
      </c>
      <c r="H167" s="81"/>
      <c r="I167"/>
    </row>
    <row r="168" spans="2:9" ht="13.5" customHeight="1" thickBot="1">
      <c r="B168" s="1"/>
      <c r="C168" s="2"/>
      <c r="D168" s="13" t="s">
        <v>141</v>
      </c>
      <c r="E168" s="159">
        <f>$T$7</f>
        <v>0.6</v>
      </c>
      <c r="F168" s="39">
        <f>$T$8</f>
        <v>0.2</v>
      </c>
      <c r="G168" s="19" t="s">
        <v>142</v>
      </c>
      <c r="H168" s="81"/>
      <c r="I168"/>
    </row>
    <row r="169" spans="2:10" ht="13.5" customHeight="1" thickBot="1">
      <c r="B169" s="1"/>
      <c r="C169" s="2"/>
      <c r="D169" s="1" t="s">
        <v>149</v>
      </c>
      <c r="E169" s="9"/>
      <c r="I169" s="17"/>
      <c r="J169" s="17"/>
    </row>
    <row r="170" spans="2:10" ht="13.5" customHeight="1" thickBot="1">
      <c r="B170" s="1"/>
      <c r="C170" s="2"/>
      <c r="D170" s="21" t="s">
        <v>143</v>
      </c>
      <c r="E170" s="22">
        <f>(E167-E168)/(-F167+F168)</f>
        <v>23.5</v>
      </c>
      <c r="F170" s="40"/>
      <c r="G170" s="47"/>
      <c r="I170" s="17"/>
      <c r="J170" s="17"/>
    </row>
    <row r="171" spans="2:10" ht="13.5" customHeight="1" thickBot="1">
      <c r="B171" s="1"/>
      <c r="C171" s="2"/>
      <c r="D171" s="21" t="s">
        <v>144</v>
      </c>
      <c r="E171" s="30">
        <f>E167+E170*F167</f>
        <v>5.3</v>
      </c>
      <c r="G171"/>
      <c r="J171" s="17"/>
    </row>
    <row r="172" spans="2:10" ht="13.5" customHeight="1" thickBot="1">
      <c r="B172" s="1"/>
      <c r="C172" s="2"/>
      <c r="D172" s="13" t="s">
        <v>146</v>
      </c>
      <c r="E172" s="28">
        <f>E170*E171</f>
        <v>124.55</v>
      </c>
      <c r="I172" s="17"/>
      <c r="J172" s="17"/>
    </row>
    <row r="173" spans="2:10" ht="13.5" customHeight="1" thickBot="1">
      <c r="B173" s="1"/>
      <c r="C173" s="2"/>
      <c r="D173" s="43" t="s">
        <v>157</v>
      </c>
      <c r="E173" s="42"/>
      <c r="I173" s="17"/>
      <c r="J173" s="17"/>
    </row>
    <row r="174" spans="2:10" ht="13.5" customHeight="1" thickBot="1">
      <c r="B174" s="1"/>
      <c r="C174" s="2"/>
      <c r="D174" s="21" t="s">
        <v>145</v>
      </c>
      <c r="E174" s="27">
        <f>ABS(E171/(F167*E170))</f>
        <v>1.127659574468085</v>
      </c>
      <c r="F174" s="71">
        <f>$E$171</f>
        <v>5.3</v>
      </c>
      <c r="G174" s="77">
        <f>$E$170</f>
        <v>23.5</v>
      </c>
      <c r="H174" s="78">
        <f>ABS($F$167)</f>
        <v>0.2</v>
      </c>
      <c r="I174" s="17"/>
      <c r="J174" s="17"/>
    </row>
    <row r="175" spans="2:10" ht="13.5" customHeight="1" thickBot="1">
      <c r="B175" s="1"/>
      <c r="C175" s="2"/>
      <c r="D175" s="43" t="s">
        <v>150</v>
      </c>
      <c r="E175" s="42"/>
      <c r="I175" s="17"/>
      <c r="J175" s="17"/>
    </row>
    <row r="176" spans="2:11" ht="13.5" customHeight="1" thickBot="1">
      <c r="B176" s="1"/>
      <c r="C176" s="2"/>
      <c r="D176" s="21" t="s">
        <v>147</v>
      </c>
      <c r="E176" s="30">
        <f>(E167-E168)*(E170)*(0.5)</f>
        <v>110.45</v>
      </c>
      <c r="F176" s="66">
        <v>0.5</v>
      </c>
      <c r="G176" s="79">
        <f>$E$167</f>
        <v>10</v>
      </c>
      <c r="H176" s="68">
        <f>$E$168</f>
        <v>0.6</v>
      </c>
      <c r="I176" s="80">
        <f>$E$170</f>
        <v>23.5</v>
      </c>
      <c r="J176" s="17"/>
      <c r="K176" s="17"/>
    </row>
    <row r="177" spans="2:11" ht="13.5" customHeight="1" thickBot="1">
      <c r="B177" s="1"/>
      <c r="C177" s="2"/>
      <c r="D177" s="168"/>
      <c r="E177" s="113"/>
      <c r="F177" s="114"/>
      <c r="G177" s="115" t="s">
        <v>160</v>
      </c>
      <c r="H177" s="114"/>
      <c r="I177" s="116"/>
      <c r="J177" s="169"/>
      <c r="K177" s="166"/>
    </row>
    <row r="178" spans="2:10" ht="13.5" customHeight="1">
      <c r="B178" s="1"/>
      <c r="C178" s="2"/>
      <c r="D178" s="43" t="s">
        <v>155</v>
      </c>
      <c r="E178" s="42"/>
      <c r="I178" s="17"/>
      <c r="J178" s="17"/>
    </row>
    <row r="179" spans="2:10" ht="13.5" customHeight="1" thickBot="1">
      <c r="B179" s="1"/>
      <c r="C179" s="2"/>
      <c r="D179" s="1" t="s">
        <v>156</v>
      </c>
      <c r="E179" s="9"/>
      <c r="H179" s="29"/>
      <c r="I179" s="29"/>
      <c r="J179"/>
    </row>
    <row r="180" spans="2:11" ht="13.5" customHeight="1" thickBot="1">
      <c r="B180" s="1"/>
      <c r="C180" s="2" t="s">
        <v>89</v>
      </c>
      <c r="D180" s="171"/>
      <c r="E180" s="117"/>
      <c r="F180" s="114"/>
      <c r="G180" s="115" t="s">
        <v>88</v>
      </c>
      <c r="H180" s="118"/>
      <c r="I180" s="118"/>
      <c r="J180" s="170"/>
      <c r="K180" s="166"/>
    </row>
    <row r="181" spans="2:10" ht="13.5" customHeight="1">
      <c r="B181" s="1"/>
      <c r="C181" s="2"/>
      <c r="D181" s="1" t="s">
        <v>109</v>
      </c>
      <c r="E181" s="9"/>
      <c r="H181" s="29"/>
      <c r="I181" s="29"/>
      <c r="J181"/>
    </row>
    <row r="182" spans="2:10" ht="13.5" customHeight="1">
      <c r="B182" s="1"/>
      <c r="C182" s="2"/>
      <c r="D182" s="1" t="s">
        <v>110</v>
      </c>
      <c r="E182" s="9"/>
      <c r="H182" s="29"/>
      <c r="I182" s="29"/>
      <c r="J182"/>
    </row>
    <row r="183" spans="2:10" ht="13.5" customHeight="1" thickBot="1">
      <c r="B183" s="1"/>
      <c r="C183" s="2"/>
      <c r="D183" s="1" t="s">
        <v>75</v>
      </c>
      <c r="E183" s="9"/>
      <c r="H183" s="29"/>
      <c r="I183" s="29"/>
      <c r="J183"/>
    </row>
    <row r="184" spans="2:10" ht="13.5" customHeight="1" thickBot="1">
      <c r="B184" s="1"/>
      <c r="C184" s="2"/>
      <c r="D184" s="21" t="str">
        <f>D167</f>
        <v>Pd=</v>
      </c>
      <c r="E184" s="58">
        <f>$E$167</f>
        <v>10</v>
      </c>
      <c r="F184" s="58">
        <f>$F$167</f>
        <v>-0.2</v>
      </c>
      <c r="G184" s="83" t="str">
        <f>G167</f>
        <v>Qd</v>
      </c>
      <c r="H184" s="1" t="s">
        <v>4</v>
      </c>
      <c r="I184" s="29"/>
      <c r="J184"/>
    </row>
    <row r="185" spans="2:10" ht="13.5" customHeight="1" thickBot="1">
      <c r="B185" s="1"/>
      <c r="C185" s="2"/>
      <c r="D185" s="21" t="str">
        <f>$D$168</f>
        <v>Ps=</v>
      </c>
      <c r="E185" s="58">
        <f>$E$168</f>
        <v>0.6</v>
      </c>
      <c r="F185" s="92">
        <f>$F$168</f>
        <v>0.2</v>
      </c>
      <c r="G185" s="83" t="str">
        <f>G168</f>
        <v>Qs</v>
      </c>
      <c r="H185" s="1" t="s">
        <v>5</v>
      </c>
      <c r="I185" s="29"/>
      <c r="J185"/>
    </row>
    <row r="186" spans="2:10" ht="15.75" customHeight="1" thickBot="1">
      <c r="B186" s="1"/>
      <c r="C186" s="2"/>
      <c r="D186" s="21" t="s">
        <v>3</v>
      </c>
      <c r="E186" s="22">
        <f>$T$9</f>
        <v>0.24</v>
      </c>
      <c r="F186" s="93">
        <f>$T$10</f>
        <v>0.45</v>
      </c>
      <c r="G186" s="24" t="s">
        <v>142</v>
      </c>
      <c r="H186" s="1" t="s">
        <v>111</v>
      </c>
      <c r="I186" s="29"/>
      <c r="J186"/>
    </row>
    <row r="187" spans="2:10" ht="12.75" customHeight="1">
      <c r="B187" s="1"/>
      <c r="C187" s="2"/>
      <c r="D187" s="1" t="s">
        <v>6</v>
      </c>
      <c r="E187" s="9"/>
      <c r="I187" s="29"/>
      <c r="J187"/>
    </row>
    <row r="188" spans="2:10" ht="12.75" customHeight="1" thickBot="1">
      <c r="B188" s="1"/>
      <c r="C188" s="2"/>
      <c r="D188" s="1" t="s">
        <v>131</v>
      </c>
      <c r="E188" s="9"/>
      <c r="I188" s="29"/>
      <c r="J188"/>
    </row>
    <row r="189" spans="2:10" ht="15.75" customHeight="1" thickBot="1">
      <c r="B189" s="1"/>
      <c r="C189" s="2"/>
      <c r="D189" s="21" t="s">
        <v>132</v>
      </c>
      <c r="E189" s="103">
        <f>$E$186+$F$186*$E$170</f>
        <v>10.815000000000001</v>
      </c>
      <c r="F189" s="84">
        <f>$E$186</f>
        <v>0.24</v>
      </c>
      <c r="G189" s="77">
        <f>$F$186</f>
        <v>0.45</v>
      </c>
      <c r="H189" s="78">
        <f>$E$170</f>
        <v>23.5</v>
      </c>
      <c r="I189" s="29"/>
      <c r="J189"/>
    </row>
    <row r="190" spans="2:10" ht="12.75" customHeight="1">
      <c r="B190" s="1"/>
      <c r="C190" s="2"/>
      <c r="D190" s="1" t="s">
        <v>133</v>
      </c>
      <c r="E190" s="9"/>
      <c r="I190" s="29"/>
      <c r="J190"/>
    </row>
    <row r="191" spans="2:10" ht="15.75" customHeight="1" thickBot="1">
      <c r="B191" s="1"/>
      <c r="C191" s="2"/>
      <c r="D191" s="1" t="s">
        <v>191</v>
      </c>
      <c r="E191" s="9"/>
      <c r="I191" s="29"/>
      <c r="J191"/>
    </row>
    <row r="192" spans="2:10" ht="15" customHeight="1" thickBot="1">
      <c r="B192" s="1"/>
      <c r="C192" s="2"/>
      <c r="D192" s="86">
        <f>$T$11</f>
        <v>0.5</v>
      </c>
      <c r="E192" s="1" t="s">
        <v>190</v>
      </c>
      <c r="G192" s="57">
        <f>$E$189-$D$192*($E$189)</f>
        <v>5.407500000000001</v>
      </c>
      <c r="H192" s="1" t="s">
        <v>34</v>
      </c>
      <c r="I192" s="29"/>
      <c r="J192"/>
    </row>
    <row r="193" spans="2:10" ht="13.5" thickBot="1">
      <c r="B193" s="1"/>
      <c r="C193" s="2"/>
      <c r="D193" s="57">
        <f>($G$192-$F$189)/$G$189</f>
        <v>11.483333333333334</v>
      </c>
      <c r="E193" s="1" t="s">
        <v>188</v>
      </c>
      <c r="F193" s="1" t="s">
        <v>189</v>
      </c>
      <c r="H193" s="29"/>
      <c r="I193" s="29"/>
      <c r="J193"/>
    </row>
    <row r="194" spans="2:10" ht="12.75">
      <c r="B194" s="1"/>
      <c r="C194" s="2"/>
      <c r="D194" s="105" t="s">
        <v>74</v>
      </c>
      <c r="E194" s="9"/>
      <c r="H194" s="29"/>
      <c r="I194" s="29"/>
      <c r="J194"/>
    </row>
    <row r="195" spans="2:10" ht="12.75">
      <c r="B195" s="1"/>
      <c r="C195" s="2"/>
      <c r="D195" s="105" t="s">
        <v>76</v>
      </c>
      <c r="E195" s="9"/>
      <c r="H195" s="29"/>
      <c r="I195" s="29"/>
      <c r="J195"/>
    </row>
    <row r="196" spans="2:10" ht="13.5" thickBot="1">
      <c r="B196" s="1"/>
      <c r="C196" s="2"/>
      <c r="D196" s="105" t="s">
        <v>77</v>
      </c>
      <c r="E196" s="9"/>
      <c r="H196" s="29"/>
      <c r="I196" s="29"/>
      <c r="J196"/>
    </row>
    <row r="197" spans="2:10" ht="13.5" thickBot="1">
      <c r="B197" s="1"/>
      <c r="C197" s="2"/>
      <c r="D197" s="21" t="s">
        <v>139</v>
      </c>
      <c r="E197" s="22">
        <f>E184</f>
        <v>10</v>
      </c>
      <c r="F197" s="88">
        <f>F184</f>
        <v>-0.2</v>
      </c>
      <c r="G197" s="89">
        <f>$D$193</f>
        <v>11.483333333333334</v>
      </c>
      <c r="H197" s="90" t="s">
        <v>134</v>
      </c>
      <c r="I197" s="91">
        <f>$E$197+$F$197*$G$197</f>
        <v>7.703333333333333</v>
      </c>
      <c r="J197" s="1" t="s">
        <v>135</v>
      </c>
    </row>
    <row r="198" spans="2:10" ht="12.75">
      <c r="B198" s="1"/>
      <c r="C198" s="2"/>
      <c r="D198" s="82" t="s">
        <v>136</v>
      </c>
      <c r="E198" s="9"/>
      <c r="H198" s="29"/>
      <c r="I198" s="29"/>
      <c r="J198"/>
    </row>
    <row r="199" spans="2:10" ht="13.5" thickBot="1">
      <c r="B199" s="1"/>
      <c r="C199" s="2"/>
      <c r="D199" s="1" t="s">
        <v>40</v>
      </c>
      <c r="E199" s="9"/>
      <c r="H199" s="29"/>
      <c r="I199" s="29"/>
      <c r="J199"/>
    </row>
    <row r="200" spans="2:10" ht="13.5" thickBot="1">
      <c r="B200" s="1"/>
      <c r="C200" s="2"/>
      <c r="D200" s="21" t="s">
        <v>141</v>
      </c>
      <c r="E200" s="95">
        <f>$I$197</f>
        <v>7.703333333333333</v>
      </c>
      <c r="F200" s="22">
        <f>E185</f>
        <v>0.6</v>
      </c>
      <c r="G200" s="23" t="s">
        <v>137</v>
      </c>
      <c r="H200" s="96">
        <f>$F$185</f>
        <v>0.2</v>
      </c>
      <c r="I200" s="97">
        <f>$D$193</f>
        <v>11.483333333333334</v>
      </c>
      <c r="J200" s="1" t="s">
        <v>184</v>
      </c>
    </row>
    <row r="201" spans="2:10" ht="13.5" thickBot="1">
      <c r="B201" s="1"/>
      <c r="C201" s="2"/>
      <c r="D201" s="73" t="s">
        <v>182</v>
      </c>
      <c r="E201" s="94"/>
      <c r="F201" s="100">
        <f>$E$200-$F$200-$H$200*$I$200</f>
        <v>4.806666666666667</v>
      </c>
      <c r="G201" s="20" t="s">
        <v>183</v>
      </c>
      <c r="H201" s="29"/>
      <c r="I201" s="29"/>
      <c r="J201"/>
    </row>
    <row r="202" spans="2:8" ht="13.5" thickBot="1">
      <c r="B202" s="1"/>
      <c r="C202" s="2"/>
      <c r="D202" s="37" t="s">
        <v>78</v>
      </c>
      <c r="E202" s="98"/>
      <c r="F202" s="99"/>
      <c r="G202" s="37"/>
      <c r="H202" s="29"/>
    </row>
    <row r="203" spans="2:8" ht="13.5" thickBot="1">
      <c r="B203" s="1"/>
      <c r="C203" s="2"/>
      <c r="D203" s="21" t="str">
        <f>D185</f>
        <v>Ps=</v>
      </c>
      <c r="E203" s="58">
        <f>$E$167</f>
        <v>10</v>
      </c>
      <c r="F203" s="58">
        <f>$F$167</f>
        <v>-0.2</v>
      </c>
      <c r="G203" s="83" t="str">
        <f>G185</f>
        <v>Qs</v>
      </c>
      <c r="H203" s="1" t="s">
        <v>79</v>
      </c>
    </row>
    <row r="204" spans="2:13" ht="13.5" thickBot="1">
      <c r="B204" s="1"/>
      <c r="C204"/>
      <c r="D204" s="21" t="str">
        <f>$D$168</f>
        <v>Ps=</v>
      </c>
      <c r="E204" s="58">
        <f>$E$168+$F$201</f>
        <v>5.406666666666666</v>
      </c>
      <c r="F204" s="92">
        <f>$F$168</f>
        <v>0.2</v>
      </c>
      <c r="G204" s="83" t="str">
        <f>G186</f>
        <v>Qs</v>
      </c>
      <c r="H204" s="106">
        <f>$E$189</f>
        <v>10.815000000000001</v>
      </c>
      <c r="I204" s="1" t="s">
        <v>80</v>
      </c>
      <c r="K204"/>
      <c r="L204"/>
      <c r="M204"/>
    </row>
    <row r="205" spans="2:13" ht="13.5" thickBot="1">
      <c r="B205" s="1"/>
      <c r="C205"/>
      <c r="D205" s="21" t="s">
        <v>3</v>
      </c>
      <c r="E205" s="22">
        <f>$T$9</f>
        <v>0.24</v>
      </c>
      <c r="F205" s="93">
        <f>$T$10</f>
        <v>0.45</v>
      </c>
      <c r="G205" s="24" t="s">
        <v>142</v>
      </c>
      <c r="H205" s="106">
        <f>$E$205+$F$205*$E$206</f>
        <v>5.407500000000001</v>
      </c>
      <c r="I205" s="1" t="s">
        <v>81</v>
      </c>
      <c r="K205"/>
      <c r="L205"/>
      <c r="M205"/>
    </row>
    <row r="206" spans="2:13" ht="13.5" thickBot="1">
      <c r="B206" s="1"/>
      <c r="C206"/>
      <c r="D206" s="21" t="s">
        <v>143</v>
      </c>
      <c r="E206" s="103">
        <f>($E$203-$E$204)/(-$F$203+$F$204)</f>
        <v>11.483333333333334</v>
      </c>
      <c r="F206" s="99" t="s">
        <v>185</v>
      </c>
      <c r="G206"/>
      <c r="H206" s="85">
        <f>(H204-H205)/H204</f>
        <v>0.5</v>
      </c>
      <c r="I206" s="1" t="s">
        <v>187</v>
      </c>
      <c r="M206"/>
    </row>
    <row r="207" spans="3:6" ht="13.5" thickBot="1">
      <c r="C207" s="2"/>
      <c r="D207" s="21" t="s">
        <v>144</v>
      </c>
      <c r="E207" s="104">
        <f>$E$203+$F$203*$E$206</f>
        <v>7.703333333333333</v>
      </c>
      <c r="F207" s="99" t="s">
        <v>186</v>
      </c>
    </row>
    <row r="208" spans="3:6" ht="13.5" thickBot="1">
      <c r="C208" s="2"/>
      <c r="D208" s="21" t="s">
        <v>146</v>
      </c>
      <c r="E208" s="104">
        <f>$E$206*$E$207</f>
        <v>88.45994444444445</v>
      </c>
      <c r="F208" s="99"/>
    </row>
    <row r="209" spans="2:5" ht="12.75">
      <c r="B209" s="1"/>
      <c r="C209" s="2"/>
      <c r="D209" s="1" t="s">
        <v>82</v>
      </c>
      <c r="E209" s="9"/>
    </row>
    <row r="210" spans="2:9" ht="13.5" thickBot="1">
      <c r="B210" s="1"/>
      <c r="C210" s="2"/>
      <c r="D210" s="1" t="s">
        <v>83</v>
      </c>
      <c r="E210" s="9"/>
      <c r="H210" s="29"/>
      <c r="I210" s="82"/>
    </row>
    <row r="211" spans="2:11" ht="13.5" thickBot="1">
      <c r="B211" s="1"/>
      <c r="C211" s="2"/>
      <c r="D211" s="1" t="s">
        <v>84</v>
      </c>
      <c r="G211" s="37"/>
      <c r="H211" s="29"/>
      <c r="I211" s="82"/>
      <c r="J211" s="57">
        <f>ABS($E$207/($F$203*$E$206))</f>
        <v>3.3541364296081273</v>
      </c>
      <c r="K211" s="1" t="s">
        <v>85</v>
      </c>
    </row>
    <row r="212" spans="2:9" ht="13.5" thickBot="1">
      <c r="B212" s="1"/>
      <c r="C212" s="2"/>
      <c r="D212" s="1" t="str">
        <f>IF(J211&gt;1,"greater than 1","less than one")</f>
        <v>greater than 1</v>
      </c>
      <c r="E212" s="1" t="s">
        <v>86</v>
      </c>
      <c r="G212" s="37"/>
      <c r="H212" s="50" t="str">
        <f>IF($J$211&gt;1,"decline","increase")</f>
        <v>decline</v>
      </c>
      <c r="I212" s="82" t="s">
        <v>87</v>
      </c>
    </row>
    <row r="213" spans="2:12" ht="13.5" thickBot="1">
      <c r="B213" s="1"/>
      <c r="C213" s="2" t="s">
        <v>90</v>
      </c>
      <c r="D213" s="167"/>
      <c r="E213" s="117"/>
      <c r="F213" s="114"/>
      <c r="G213" s="115" t="s">
        <v>91</v>
      </c>
      <c r="H213" s="118"/>
      <c r="I213" s="118"/>
      <c r="J213" s="165"/>
      <c r="K213" s="166"/>
      <c r="L213" s="166"/>
    </row>
    <row r="214" spans="2:12" ht="12.75">
      <c r="B214" s="1"/>
      <c r="C214" s="2"/>
      <c r="D214" s="37" t="s">
        <v>92</v>
      </c>
      <c r="E214" s="98"/>
      <c r="F214" s="37"/>
      <c r="G214" s="107"/>
      <c r="H214" s="108"/>
      <c r="I214" s="108"/>
      <c r="J214" s="37"/>
      <c r="K214" s="37"/>
      <c r="L214" s="37"/>
    </row>
    <row r="215" spans="2:12" ht="12.75">
      <c r="B215" s="1"/>
      <c r="C215" s="2"/>
      <c r="D215" s="37" t="s">
        <v>112</v>
      </c>
      <c r="E215" s="98"/>
      <c r="F215" s="37"/>
      <c r="G215" s="107"/>
      <c r="H215" s="108"/>
      <c r="I215" s="108"/>
      <c r="J215" s="37"/>
      <c r="K215" s="37"/>
      <c r="L215" s="37"/>
    </row>
    <row r="216" spans="2:12" ht="12.75">
      <c r="B216" s="1"/>
      <c r="C216" s="2"/>
      <c r="D216" s="37" t="s">
        <v>113</v>
      </c>
      <c r="E216" s="98"/>
      <c r="F216" s="37"/>
      <c r="G216" s="107"/>
      <c r="H216" s="108"/>
      <c r="I216" s="108"/>
      <c r="J216" s="37"/>
      <c r="K216" s="37"/>
      <c r="L216" s="37"/>
    </row>
    <row r="217" spans="2:12" ht="12.75">
      <c r="B217" s="1"/>
      <c r="C217" s="2"/>
      <c r="D217" s="37" t="s">
        <v>114</v>
      </c>
      <c r="E217" s="98"/>
      <c r="F217" s="37"/>
      <c r="G217" s="107"/>
      <c r="H217" s="108"/>
      <c r="I217" s="108"/>
      <c r="J217" s="37"/>
      <c r="K217" s="37"/>
      <c r="L217" s="37"/>
    </row>
    <row r="218" spans="2:12" ht="12.75">
      <c r="B218" s="1"/>
      <c r="C218" s="2"/>
      <c r="D218" s="37" t="s">
        <v>71</v>
      </c>
      <c r="E218" s="98"/>
      <c r="F218" s="37"/>
      <c r="G218" s="107"/>
      <c r="H218" s="108"/>
      <c r="I218" s="108"/>
      <c r="J218" s="37"/>
      <c r="K218" s="37"/>
      <c r="L218" s="37"/>
    </row>
    <row r="219" spans="2:12" ht="12.75">
      <c r="B219" s="1"/>
      <c r="C219" s="2"/>
      <c r="D219" s="37" t="s">
        <v>72</v>
      </c>
      <c r="E219" s="98"/>
      <c r="F219" s="37"/>
      <c r="G219" s="107"/>
      <c r="H219" s="108"/>
      <c r="I219" s="108"/>
      <c r="J219" s="37"/>
      <c r="K219" s="37"/>
      <c r="L219" s="37"/>
    </row>
    <row r="220" spans="2:12" ht="13.5" thickBot="1">
      <c r="B220" s="1"/>
      <c r="C220" s="2"/>
      <c r="D220" s="37" t="s">
        <v>73</v>
      </c>
      <c r="E220" s="98"/>
      <c r="F220" s="37"/>
      <c r="G220" s="107"/>
      <c r="H220" s="108"/>
      <c r="I220" s="108"/>
      <c r="J220" s="37"/>
      <c r="K220" s="37"/>
      <c r="L220" s="37"/>
    </row>
    <row r="221" spans="2:9" ht="13.5" thickBot="1">
      <c r="B221" s="1"/>
      <c r="C221" s="2"/>
      <c r="D221" s="21" t="str">
        <f>$D$167</f>
        <v>Pd=</v>
      </c>
      <c r="E221" s="22">
        <f>$T$5</f>
        <v>10</v>
      </c>
      <c r="F221" s="22">
        <f>$T$6</f>
        <v>-0.2</v>
      </c>
      <c r="G221" s="24" t="str">
        <f>$G$167</f>
        <v>Qd</v>
      </c>
      <c r="H221" s="1" t="s">
        <v>93</v>
      </c>
      <c r="I221" s="44"/>
    </row>
    <row r="222" spans="2:9" ht="13.5" thickBot="1">
      <c r="B222" s="1"/>
      <c r="C222" s="2"/>
      <c r="D222" s="21" t="str">
        <f>$D$168</f>
        <v>Ps=</v>
      </c>
      <c r="E222" s="22">
        <f>$T$7</f>
        <v>0.6</v>
      </c>
      <c r="F222" s="93">
        <f>$T$8</f>
        <v>0.2</v>
      </c>
      <c r="G222" s="24" t="str">
        <f>$G$168</f>
        <v>Qs</v>
      </c>
      <c r="H222" s="1" t="s">
        <v>94</v>
      </c>
      <c r="I222" s="44"/>
    </row>
    <row r="223" spans="2:9" ht="13.5" thickBot="1">
      <c r="B223" s="1"/>
      <c r="C223" s="2"/>
      <c r="D223" s="43" t="s">
        <v>96</v>
      </c>
      <c r="E223" s="49"/>
      <c r="F223" s="110"/>
      <c r="G223" s="18"/>
      <c r="I223" s="44"/>
    </row>
    <row r="224" spans="2:9" ht="13.5" thickBot="1">
      <c r="B224" s="1"/>
      <c r="C224" s="2"/>
      <c r="D224" s="21" t="s">
        <v>143</v>
      </c>
      <c r="E224" s="22">
        <f>(E221-E222)/(-F221+F222)</f>
        <v>23.5</v>
      </c>
      <c r="F224" s="110"/>
      <c r="G224" s="37" t="s">
        <v>97</v>
      </c>
      <c r="I224" s="44"/>
    </row>
    <row r="225" spans="2:9" ht="13.5" thickBot="1">
      <c r="B225" s="1"/>
      <c r="C225" s="2"/>
      <c r="D225" s="21" t="s">
        <v>144</v>
      </c>
      <c r="E225" s="30">
        <f>E221+E224*F221</f>
        <v>5.3</v>
      </c>
      <c r="F225" s="110"/>
      <c r="G225" s="111">
        <f>$E$225/($F$221*$E$224)</f>
        <v>-1.127659574468085</v>
      </c>
      <c r="I225" s="44"/>
    </row>
    <row r="226" spans="2:9" ht="13.5" thickBot="1">
      <c r="B226" s="1"/>
      <c r="C226" s="2"/>
      <c r="D226" s="13" t="s">
        <v>146</v>
      </c>
      <c r="E226" s="28">
        <f>E224*E225</f>
        <v>124.55</v>
      </c>
      <c r="F226" s="110"/>
      <c r="G226" s="37"/>
      <c r="I226" s="44"/>
    </row>
    <row r="227" spans="2:10" ht="13.5" thickBot="1">
      <c r="B227" s="1"/>
      <c r="C227" s="2"/>
      <c r="D227" s="1" t="s">
        <v>95</v>
      </c>
      <c r="G227" s="16">
        <f>$T$12</f>
        <v>2</v>
      </c>
      <c r="H227" s="1" t="s">
        <v>158</v>
      </c>
      <c r="I227" s="17"/>
      <c r="J227"/>
    </row>
    <row r="228" spans="2:10" ht="13.5" thickBot="1">
      <c r="B228" s="1"/>
      <c r="C228" s="2"/>
      <c r="D228" s="1" t="s">
        <v>159</v>
      </c>
      <c r="E228" s="29"/>
      <c r="F228" s="29"/>
      <c r="G228" s="29"/>
      <c r="I228" s="17"/>
      <c r="J228" s="17"/>
    </row>
    <row r="229" spans="2:11" ht="12.75">
      <c r="B229" s="1"/>
      <c r="C229" s="2"/>
      <c r="D229" s="10" t="s">
        <v>139</v>
      </c>
      <c r="E229" s="11">
        <f>$T$5</f>
        <v>10</v>
      </c>
      <c r="F229" s="11">
        <f>$T$6</f>
        <v>-0.2</v>
      </c>
      <c r="G229" s="12" t="str">
        <f>G167</f>
        <v>Qd</v>
      </c>
      <c r="K229" s="17"/>
    </row>
    <row r="230" spans="2:11" ht="13.5" thickBot="1">
      <c r="B230" s="1"/>
      <c r="C230" s="2"/>
      <c r="D230" s="13" t="s">
        <v>141</v>
      </c>
      <c r="E230" s="14">
        <f>$T$7+$G$227</f>
        <v>2.6</v>
      </c>
      <c r="F230" s="39">
        <f>$T$8</f>
        <v>0.2</v>
      </c>
      <c r="G230" s="15" t="str">
        <f>G168</f>
        <v>Qs</v>
      </c>
      <c r="K230" s="17"/>
    </row>
    <row r="231" spans="2:9" ht="13.5" thickBot="1">
      <c r="B231" s="1"/>
      <c r="C231" s="2"/>
      <c r="D231" s="1" t="s">
        <v>161</v>
      </c>
      <c r="E231" s="29"/>
      <c r="F231" s="29"/>
      <c r="G231" s="29"/>
      <c r="I231" s="17"/>
    </row>
    <row r="232" spans="2:9" ht="13.5" thickBot="1">
      <c r="B232" s="1"/>
      <c r="C232" s="2"/>
      <c r="D232" s="21" t="s">
        <v>143</v>
      </c>
      <c r="E232" s="22">
        <f>(E229-E230)/(-F229+F230)</f>
        <v>18.5</v>
      </c>
      <c r="F232" s="40"/>
      <c r="G232" s="37" t="s">
        <v>99</v>
      </c>
      <c r="I232" s="17"/>
    </row>
    <row r="233" spans="2:10" ht="13.5" thickBot="1">
      <c r="B233" s="1"/>
      <c r="C233" s="2"/>
      <c r="D233" s="10" t="s">
        <v>144</v>
      </c>
      <c r="E233" s="25">
        <f>E229+E232*F229</f>
        <v>6.3</v>
      </c>
      <c r="G233" s="109">
        <f>ABS(E233/(F229*E232))</f>
        <v>1.7027027027027026</v>
      </c>
      <c r="H233" s="1" t="s">
        <v>98</v>
      </c>
      <c r="J233" s="1" t="str">
        <f>IF(G233&lt;1,"less than 1","greater than 1")</f>
        <v>greater than 1</v>
      </c>
    </row>
    <row r="234" spans="2:10" ht="13.5" thickBot="1">
      <c r="B234" s="1"/>
      <c r="C234" s="2"/>
      <c r="D234" s="13" t="s">
        <v>146</v>
      </c>
      <c r="E234" s="28">
        <f>E232*E233</f>
        <v>116.55</v>
      </c>
      <c r="G234" s="1" t="s">
        <v>33</v>
      </c>
      <c r="I234" s="48" t="str">
        <f>IF(G233&lt;1,"increase","decrease")</f>
        <v>decrease</v>
      </c>
      <c r="J234" s="1" t="s">
        <v>87</v>
      </c>
    </row>
    <row r="235" spans="2:16" ht="13.5" thickBot="1">
      <c r="B235" s="1"/>
      <c r="C235" s="2"/>
      <c r="D235" s="52" t="s">
        <v>162</v>
      </c>
      <c r="E235" s="34"/>
      <c r="F235" s="30">
        <f>E232*$G$227</f>
        <v>37</v>
      </c>
      <c r="G235" s="112">
        <f>$G$227</f>
        <v>2</v>
      </c>
      <c r="H235" s="80">
        <f>$E$232</f>
        <v>18.5</v>
      </c>
      <c r="P235" s="124"/>
    </row>
    <row r="236" spans="2:16" ht="12.75">
      <c r="B236" s="1"/>
      <c r="C236" s="2"/>
      <c r="D236" s="54" t="s">
        <v>163</v>
      </c>
      <c r="E236" s="53"/>
      <c r="F236" s="18"/>
      <c r="G236" s="47"/>
      <c r="H236" s="42"/>
      <c r="P236" s="124"/>
    </row>
    <row r="237" spans="2:16" ht="12.75">
      <c r="B237" s="1"/>
      <c r="C237" s="2"/>
      <c r="D237" s="37" t="s">
        <v>164</v>
      </c>
      <c r="E237" s="55"/>
      <c r="F237" s="47"/>
      <c r="G237" s="47"/>
      <c r="H237" s="42"/>
      <c r="P237" s="124"/>
    </row>
    <row r="238" spans="2:16" ht="13.5" thickBot="1">
      <c r="B238" s="1"/>
      <c r="C238" s="2"/>
      <c r="D238" s="37" t="s">
        <v>165</v>
      </c>
      <c r="E238" s="55"/>
      <c r="F238" s="47"/>
      <c r="G238" s="47"/>
      <c r="H238" s="42"/>
      <c r="J238" s="50"/>
      <c r="N238"/>
      <c r="O238"/>
      <c r="P238" s="124"/>
    </row>
    <row r="239" spans="2:16" ht="13.5" thickBot="1">
      <c r="B239" s="1"/>
      <c r="C239" s="2"/>
      <c r="D239" s="21" t="str">
        <f>D229</f>
        <v>Pd=</v>
      </c>
      <c r="E239" s="58">
        <f aca="true" t="shared" si="1" ref="E239:G240">E229</f>
        <v>10</v>
      </c>
      <c r="F239" s="58">
        <f t="shared" si="1"/>
        <v>-0.2</v>
      </c>
      <c r="G239" s="59" t="str">
        <f t="shared" si="1"/>
        <v>Qd</v>
      </c>
      <c r="H239" s="42"/>
      <c r="I239" s="56">
        <f>ABS(F239)</f>
        <v>0.2</v>
      </c>
      <c r="J239" s="160">
        <f>I239/$I$241</f>
        <v>0.5</v>
      </c>
      <c r="K239" s="1" t="s">
        <v>41</v>
      </c>
      <c r="N239"/>
      <c r="O239"/>
      <c r="P239" s="124"/>
    </row>
    <row r="240" spans="2:16" ht="13.5" thickBot="1">
      <c r="B240" s="1"/>
      <c r="C240" s="2"/>
      <c r="D240" s="21" t="str">
        <f>D230</f>
        <v>Ps=</v>
      </c>
      <c r="E240" s="58">
        <f t="shared" si="1"/>
        <v>2.6</v>
      </c>
      <c r="F240" s="58">
        <f t="shared" si="1"/>
        <v>0.2</v>
      </c>
      <c r="G240" s="59" t="str">
        <f t="shared" si="1"/>
        <v>Qs</v>
      </c>
      <c r="H240" s="42"/>
      <c r="I240" s="35">
        <f>ABS(F240)</f>
        <v>0.2</v>
      </c>
      <c r="J240" s="161">
        <f>I240/$I$241</f>
        <v>0.5</v>
      </c>
      <c r="K240" s="1" t="s">
        <v>42</v>
      </c>
      <c r="N240"/>
      <c r="O240"/>
      <c r="P240" s="124"/>
    </row>
    <row r="241" spans="2:16" ht="13.5" thickBot="1">
      <c r="B241" s="1"/>
      <c r="C241" s="2"/>
      <c r="D241" s="37"/>
      <c r="E241" s="55"/>
      <c r="F241" s="47"/>
      <c r="G241" s="47"/>
      <c r="H241" s="42"/>
      <c r="I241" s="57">
        <f>SUM(I239:I240)</f>
        <v>0.4</v>
      </c>
      <c r="J241" s="63">
        <f>SUM(J239:J240)</f>
        <v>1</v>
      </c>
      <c r="K241" s="1" t="s">
        <v>43</v>
      </c>
      <c r="P241" s="124"/>
    </row>
    <row r="242" spans="2:16" ht="12.75">
      <c r="B242" s="1"/>
      <c r="C242" s="2"/>
      <c r="D242" s="37" t="s">
        <v>166</v>
      </c>
      <c r="E242" s="55"/>
      <c r="F242" s="47"/>
      <c r="G242" s="47"/>
      <c r="H242" s="42"/>
      <c r="P242" s="124"/>
    </row>
    <row r="243" spans="2:8" ht="12.75">
      <c r="B243" s="1"/>
      <c r="C243" s="2"/>
      <c r="D243" s="37" t="s">
        <v>192</v>
      </c>
      <c r="E243" s="55"/>
      <c r="F243" s="47"/>
      <c r="G243" s="47"/>
      <c r="H243" s="42"/>
    </row>
    <row r="244" spans="2:8" ht="13.5" thickBot="1">
      <c r="B244" s="1"/>
      <c r="C244" s="2"/>
      <c r="D244" s="37" t="s">
        <v>193</v>
      </c>
      <c r="E244" s="55"/>
      <c r="F244" s="47"/>
      <c r="G244" s="47"/>
      <c r="H244" s="42"/>
    </row>
    <row r="245" spans="2:10" ht="13.5" thickBot="1">
      <c r="B245" s="1"/>
      <c r="C245" s="2"/>
      <c r="D245" s="52"/>
      <c r="E245" s="34"/>
      <c r="F245" s="23"/>
      <c r="G245" s="59" t="s">
        <v>194</v>
      </c>
      <c r="H245" s="65">
        <f>$H$247*J245</f>
        <v>18.5</v>
      </c>
      <c r="I245" s="66">
        <f>H247</f>
        <v>37</v>
      </c>
      <c r="J245" s="70">
        <f>J239</f>
        <v>0.5</v>
      </c>
    </row>
    <row r="246" spans="2:10" ht="13.5" thickBot="1">
      <c r="B246" s="1"/>
      <c r="C246" s="2"/>
      <c r="D246" s="52"/>
      <c r="E246" s="34"/>
      <c r="F246" s="23"/>
      <c r="G246" s="59" t="s">
        <v>195</v>
      </c>
      <c r="H246" s="64">
        <f>$H$247*J246</f>
        <v>18.5</v>
      </c>
      <c r="I246" s="66">
        <f>H247</f>
        <v>37</v>
      </c>
      <c r="J246" s="70">
        <f>J240</f>
        <v>0.5</v>
      </c>
    </row>
    <row r="247" spans="2:8" ht="13.5" thickBot="1">
      <c r="B247" s="1"/>
      <c r="C247" s="2"/>
      <c r="D247" s="73"/>
      <c r="E247" s="36"/>
      <c r="F247" s="19"/>
      <c r="G247" s="74" t="s">
        <v>196</v>
      </c>
      <c r="H247" s="65">
        <f>$F$235</f>
        <v>37</v>
      </c>
    </row>
    <row r="248" spans="2:8" ht="12.75">
      <c r="B248" s="1"/>
      <c r="C248" s="2"/>
      <c r="D248" s="37" t="s">
        <v>197</v>
      </c>
      <c r="E248" s="55"/>
      <c r="F248" s="47"/>
      <c r="G248" s="47"/>
      <c r="H248" s="42"/>
    </row>
    <row r="249" spans="2:8" ht="12.75">
      <c r="B249" s="1"/>
      <c r="C249" s="2"/>
      <c r="D249" s="37" t="s">
        <v>198</v>
      </c>
      <c r="E249" s="55"/>
      <c r="F249" s="47"/>
      <c r="G249" s="47"/>
      <c r="H249" s="42"/>
    </row>
    <row r="250" spans="2:8" ht="12.75">
      <c r="B250" s="1"/>
      <c r="C250" s="2"/>
      <c r="D250" s="37" t="s">
        <v>49</v>
      </c>
      <c r="E250" s="55"/>
      <c r="F250" s="47"/>
      <c r="G250" s="47"/>
      <c r="H250" s="42"/>
    </row>
    <row r="251" spans="2:8" ht="13.5" thickBot="1">
      <c r="B251" s="1"/>
      <c r="C251" s="2"/>
      <c r="D251" s="37" t="s">
        <v>50</v>
      </c>
      <c r="E251" s="55"/>
      <c r="F251" s="47"/>
      <c r="G251" s="47"/>
      <c r="H251" s="42"/>
    </row>
    <row r="252" spans="2:12" ht="13.5" thickBot="1">
      <c r="B252" s="1"/>
      <c r="C252" s="2"/>
      <c r="D252" s="26"/>
      <c r="E252" s="34"/>
      <c r="F252" s="23"/>
      <c r="G252" s="33" t="s">
        <v>148</v>
      </c>
      <c r="H252" s="30">
        <f>(E170-E232)*$G$227*0.5</f>
        <v>5</v>
      </c>
      <c r="I252" s="66">
        <f>0.5</f>
        <v>0.5</v>
      </c>
      <c r="J252" s="67">
        <f>$E$170</f>
        <v>23.5</v>
      </c>
      <c r="K252" s="68">
        <f>$E$232</f>
        <v>18.5</v>
      </c>
      <c r="L252" s="69">
        <f>(G$227)</f>
        <v>2</v>
      </c>
    </row>
    <row r="253" spans="2:8" ht="13.5" thickBot="1">
      <c r="B253" s="1"/>
      <c r="C253" s="2"/>
      <c r="D253" s="52"/>
      <c r="E253" s="34"/>
      <c r="F253" s="23"/>
      <c r="G253" s="33" t="s">
        <v>51</v>
      </c>
      <c r="H253" s="30">
        <f>$F$235</f>
        <v>37</v>
      </c>
    </row>
    <row r="254" spans="2:13" ht="13.5" thickBot="1">
      <c r="B254" s="1"/>
      <c r="C254" s="2"/>
      <c r="D254" s="52"/>
      <c r="E254" s="31"/>
      <c r="F254" s="32"/>
      <c r="G254" s="33" t="s">
        <v>52</v>
      </c>
      <c r="H254" s="38">
        <f>H252/F235</f>
        <v>0.13513513513513514</v>
      </c>
      <c r="I254" s="71">
        <f>$H$252</f>
        <v>5</v>
      </c>
      <c r="J254" s="72">
        <f>$H$253</f>
        <v>37</v>
      </c>
      <c r="M254"/>
    </row>
    <row r="255" spans="2:13" ht="12.75">
      <c r="B255" s="1"/>
      <c r="C255" s="2"/>
      <c r="D255" s="1" t="s">
        <v>53</v>
      </c>
      <c r="M255"/>
    </row>
    <row r="256" spans="2:13" ht="13.5" thickBot="1">
      <c r="B256" s="1"/>
      <c r="C256" s="2"/>
      <c r="D256" s="1" t="s">
        <v>100</v>
      </c>
      <c r="M256"/>
    </row>
    <row r="257" spans="2:13" ht="13.5" thickBot="1">
      <c r="B257" s="1"/>
      <c r="C257" s="2" t="s">
        <v>44</v>
      </c>
      <c r="D257" s="168"/>
      <c r="E257" s="113"/>
      <c r="F257" s="114"/>
      <c r="G257" s="115" t="s">
        <v>45</v>
      </c>
      <c r="H257" s="114"/>
      <c r="I257" s="116"/>
      <c r="J257" s="169"/>
      <c r="K257" s="166"/>
      <c r="M257"/>
    </row>
    <row r="258" spans="2:13" ht="12.75">
      <c r="B258" s="1"/>
      <c r="C258" s="2"/>
      <c r="D258" s="1" t="s">
        <v>101</v>
      </c>
      <c r="M258"/>
    </row>
    <row r="259" spans="2:13" ht="12.75">
      <c r="B259" s="1"/>
      <c r="C259" s="2"/>
      <c r="D259" s="1" t="s">
        <v>47</v>
      </c>
      <c r="M259"/>
    </row>
    <row r="260" spans="2:13" ht="12.75">
      <c r="B260" s="1"/>
      <c r="C260" s="2"/>
      <c r="D260" s="1" t="s">
        <v>48</v>
      </c>
      <c r="M260"/>
    </row>
    <row r="261" spans="2:13" ht="12.75">
      <c r="B261" s="1"/>
      <c r="C261" s="2"/>
      <c r="D261" s="1" t="s">
        <v>172</v>
      </c>
      <c r="M261"/>
    </row>
    <row r="262" spans="2:13" ht="12.75">
      <c r="B262" s="1"/>
      <c r="C262" s="2"/>
      <c r="D262" s="1" t="s">
        <v>173</v>
      </c>
      <c r="M262"/>
    </row>
    <row r="263" spans="2:4" ht="12.75">
      <c r="B263" s="1"/>
      <c r="C263" s="2"/>
      <c r="D263" s="1" t="s">
        <v>169</v>
      </c>
    </row>
    <row r="264" spans="2:4" ht="12.75">
      <c r="B264" s="1"/>
      <c r="C264" s="2"/>
      <c r="D264" s="1" t="s">
        <v>170</v>
      </c>
    </row>
    <row r="265" spans="2:4" ht="13.5" thickBot="1">
      <c r="B265" s="1"/>
      <c r="C265" s="2"/>
      <c r="D265" s="1" t="s">
        <v>46</v>
      </c>
    </row>
    <row r="266" spans="2:7" ht="13.5" thickBot="1">
      <c r="B266" s="1"/>
      <c r="C266" s="2"/>
      <c r="D266" s="21" t="s">
        <v>139</v>
      </c>
      <c r="E266" s="22">
        <f>$T$5</f>
        <v>10</v>
      </c>
      <c r="F266" s="22">
        <f>$T$6</f>
        <v>-0.2</v>
      </c>
      <c r="G266" s="24" t="s">
        <v>140</v>
      </c>
    </row>
    <row r="267" spans="2:7" ht="13.5" thickBot="1">
      <c r="B267" s="1"/>
      <c r="C267" s="2"/>
      <c r="D267" s="13" t="s">
        <v>141</v>
      </c>
      <c r="E267" s="14">
        <f>$T$7</f>
        <v>0.6</v>
      </c>
      <c r="F267" s="39">
        <f>$T$8</f>
        <v>0.2</v>
      </c>
      <c r="G267" s="24" t="s">
        <v>142</v>
      </c>
    </row>
    <row r="268" spans="2:5" ht="13.5" thickBot="1">
      <c r="B268" s="1"/>
      <c r="C268" s="2"/>
      <c r="D268" s="1" t="s">
        <v>149</v>
      </c>
      <c r="E268" s="9"/>
    </row>
    <row r="269" spans="2:7" ht="13.5" thickBot="1">
      <c r="B269" s="1"/>
      <c r="C269" s="2"/>
      <c r="D269" s="21" t="s">
        <v>143</v>
      </c>
      <c r="E269" s="22">
        <f>(E266-E267)/(-F266+F267)</f>
        <v>23.5</v>
      </c>
      <c r="F269" s="40"/>
      <c r="G269" s="1" t="s">
        <v>130</v>
      </c>
    </row>
    <row r="270" spans="2:7" ht="13.5" thickBot="1">
      <c r="B270" s="1"/>
      <c r="C270" s="2"/>
      <c r="D270" s="21" t="s">
        <v>144</v>
      </c>
      <c r="E270" s="30">
        <f>E266+E269*F266</f>
        <v>5.3</v>
      </c>
      <c r="G270" s="109">
        <f>ABS(E270/(F266*E269))</f>
        <v>1.127659574468085</v>
      </c>
    </row>
    <row r="271" spans="2:5" ht="13.5" thickBot="1">
      <c r="B271" s="1"/>
      <c r="C271" s="2"/>
      <c r="D271" s="13" t="s">
        <v>146</v>
      </c>
      <c r="E271" s="28">
        <f>E269*E270</f>
        <v>124.55</v>
      </c>
    </row>
    <row r="272" spans="2:4" ht="12.75">
      <c r="B272" s="1"/>
      <c r="C272" s="2"/>
      <c r="D272" s="1" t="s">
        <v>175</v>
      </c>
    </row>
    <row r="273" spans="2:4" ht="13.5" thickBot="1">
      <c r="B273" s="1"/>
      <c r="C273" s="2"/>
      <c r="D273" s="1" t="s">
        <v>176</v>
      </c>
    </row>
    <row r="274" spans="2:10" ht="15.75" thickBot="1">
      <c r="B274" s="1"/>
      <c r="C274" s="2"/>
      <c r="D274" s="21"/>
      <c r="E274" s="33" t="s">
        <v>177</v>
      </c>
      <c r="F274" s="22">
        <f>E266</f>
        <v>10</v>
      </c>
      <c r="G274" s="23" t="s">
        <v>174</v>
      </c>
      <c r="H274" s="22">
        <f>F266</f>
        <v>-0.2</v>
      </c>
      <c r="I274" s="24" t="s">
        <v>180</v>
      </c>
      <c r="J274" s="1" t="s">
        <v>168</v>
      </c>
    </row>
    <row r="275" spans="2:9" ht="13.5" thickBot="1">
      <c r="B275" s="1"/>
      <c r="D275" s="52"/>
      <c r="E275" s="33"/>
      <c r="F275" s="33" t="s">
        <v>167</v>
      </c>
      <c r="G275" s="22">
        <f>F274</f>
        <v>10</v>
      </c>
      <c r="H275" s="22">
        <f>2*H274</f>
        <v>-0.4</v>
      </c>
      <c r="I275" s="24" t="s">
        <v>174</v>
      </c>
    </row>
    <row r="276" spans="2:9" ht="12.75">
      <c r="B276" s="1"/>
      <c r="D276" s="37" t="s">
        <v>171</v>
      </c>
      <c r="E276" s="41"/>
      <c r="F276" s="41"/>
      <c r="G276" s="49"/>
      <c r="H276" s="49"/>
      <c r="I276" s="47"/>
    </row>
    <row r="277" spans="2:9" ht="13.5" thickBot="1">
      <c r="B277" s="1"/>
      <c r="D277" s="37" t="s">
        <v>19</v>
      </c>
      <c r="E277" s="41"/>
      <c r="F277" s="41"/>
      <c r="G277" s="49"/>
      <c r="H277" s="49"/>
      <c r="I277" s="47"/>
    </row>
    <row r="278" spans="2:9" ht="13.5" thickBot="1">
      <c r="B278" s="1"/>
      <c r="D278" s="21"/>
      <c r="E278" s="33" t="s">
        <v>20</v>
      </c>
      <c r="F278" s="103">
        <f>(E270-G275)/H275</f>
        <v>11.75</v>
      </c>
      <c r="G278" s="146">
        <f>E270</f>
        <v>5.3</v>
      </c>
      <c r="H278" s="148">
        <f>G275</f>
        <v>10</v>
      </c>
      <c r="I278" s="147">
        <f>H275</f>
        <v>-0.4</v>
      </c>
    </row>
    <row r="279" spans="2:9" ht="12.75">
      <c r="B279" s="1"/>
      <c r="D279" s="43" t="s">
        <v>21</v>
      </c>
      <c r="E279" s="41"/>
      <c r="F279" s="49"/>
      <c r="G279" s="49"/>
      <c r="H279" s="49"/>
      <c r="I279" s="47"/>
    </row>
    <row r="280" spans="2:9" ht="13.5" thickBot="1">
      <c r="B280" s="1"/>
      <c r="D280" s="43" t="s">
        <v>22</v>
      </c>
      <c r="E280" s="41"/>
      <c r="F280" s="49"/>
      <c r="G280" s="49"/>
      <c r="H280" s="49"/>
      <c r="I280" s="47"/>
    </row>
    <row r="281" spans="2:8" ht="13.5" thickBot="1">
      <c r="B281" s="1"/>
      <c r="C281" s="52"/>
      <c r="D281" s="155"/>
      <c r="E281" s="33" t="s">
        <v>178</v>
      </c>
      <c r="F281" s="104">
        <f>E266+F266*F278</f>
        <v>7.65</v>
      </c>
      <c r="G281" s="1" t="s">
        <v>25</v>
      </c>
      <c r="H281"/>
    </row>
    <row r="282" spans="2:8" ht="13.5" thickBot="1">
      <c r="B282" s="1"/>
      <c r="C282" s="52"/>
      <c r="D282" s="155"/>
      <c r="E282" s="33" t="s">
        <v>179</v>
      </c>
      <c r="F282" s="104">
        <f>E267+F267*F278</f>
        <v>2.95</v>
      </c>
      <c r="G282" s="1" t="s">
        <v>26</v>
      </c>
      <c r="H282"/>
    </row>
    <row r="283" spans="2:9" ht="13.5" thickBot="1">
      <c r="B283" s="1"/>
      <c r="C283" s="52"/>
      <c r="D283" s="155"/>
      <c r="E283" s="134" t="s">
        <v>23</v>
      </c>
      <c r="F283" s="104">
        <f>F281-F282</f>
        <v>4.7</v>
      </c>
      <c r="G283" s="1" t="s">
        <v>27</v>
      </c>
      <c r="H283" s="122">
        <v>5.75</v>
      </c>
      <c r="I283" s="1" t="s">
        <v>28</v>
      </c>
    </row>
    <row r="284" spans="2:9" ht="13.5" thickBot="1">
      <c r="B284" s="1"/>
      <c r="C284" s="52"/>
      <c r="D284" s="155"/>
      <c r="E284" s="134" t="s">
        <v>24</v>
      </c>
      <c r="F284" s="104">
        <f>F278*F283</f>
        <v>55.225</v>
      </c>
      <c r="H284" s="135">
        <f>(E266-E267-H283)/(-F266+F267)</f>
        <v>9.125</v>
      </c>
      <c r="I284" s="1" t="s">
        <v>29</v>
      </c>
    </row>
    <row r="285" spans="2:9" ht="13.5" thickBot="1">
      <c r="B285" s="1"/>
      <c r="C285" s="21"/>
      <c r="D285" s="32"/>
      <c r="E285" s="134" t="s">
        <v>129</v>
      </c>
      <c r="F285" s="156">
        <f>ABS(F281/(F266*H284))</f>
        <v>4.191780821917808</v>
      </c>
      <c r="G285" s="121"/>
      <c r="H285" s="122">
        <f>H283*H284</f>
        <v>52.46875</v>
      </c>
      <c r="I285" s="1" t="s">
        <v>30</v>
      </c>
    </row>
    <row r="286" spans="2:10" ht="12.75">
      <c r="B286" s="1"/>
      <c r="C286" s="2"/>
      <c r="E286" s="87"/>
      <c r="F286" s="123"/>
      <c r="G286" s="123"/>
      <c r="H286" s="120"/>
      <c r="I286" s="120"/>
      <c r="J286" s="50"/>
    </row>
    <row r="287" spans="2:10" ht="12.75">
      <c r="B287" s="1"/>
      <c r="C287" s="2"/>
      <c r="D287" s="1" t="s">
        <v>0</v>
      </c>
      <c r="E287" s="102"/>
      <c r="F287" s="123"/>
      <c r="G287" s="123"/>
      <c r="H287" s="120"/>
      <c r="I287" s="120"/>
      <c r="J287" s="50"/>
    </row>
    <row r="288" spans="2:10" ht="12.75">
      <c r="B288" s="1"/>
      <c r="C288" s="2"/>
      <c r="E288" s="102"/>
      <c r="F288" s="123"/>
      <c r="G288" s="123"/>
      <c r="H288" s="120"/>
      <c r="I288" s="120"/>
      <c r="J288" s="50"/>
    </row>
    <row r="327" spans="2:10" ht="12.75">
      <c r="B327" s="1"/>
      <c r="C327" s="2"/>
      <c r="E327" s="102"/>
      <c r="F327" s="123"/>
      <c r="G327" s="123"/>
      <c r="H327" s="120"/>
      <c r="I327" s="120"/>
      <c r="J327" s="50"/>
    </row>
    <row r="328" spans="2:10" ht="0.75" customHeight="1">
      <c r="B328" s="1"/>
      <c r="C328" s="2"/>
      <c r="D328" s="124">
        <f>(E266-E267-E328)/(-F266+F267)</f>
        <v>22.875</v>
      </c>
      <c r="E328" s="136">
        <v>0.25</v>
      </c>
      <c r="F328" s="130">
        <f>F274*D328+H274*(D328^2)</f>
        <v>124.096875</v>
      </c>
      <c r="G328" s="130">
        <f>E328*D328</f>
        <v>5.71875</v>
      </c>
      <c r="H328" s="120"/>
      <c r="I328" s="120"/>
      <c r="J328" s="50"/>
    </row>
    <row r="329" spans="2:11" ht="0.75" customHeight="1">
      <c r="B329" s="1"/>
      <c r="C329" s="2"/>
      <c r="D329" s="130" t="s">
        <v>174</v>
      </c>
      <c r="E329" s="130" t="s">
        <v>31</v>
      </c>
      <c r="F329" s="130" t="s">
        <v>32</v>
      </c>
      <c r="G329" s="130" t="s">
        <v>181</v>
      </c>
      <c r="H329" s="130"/>
      <c r="I329" s="131"/>
      <c r="J329" s="129"/>
      <c r="K329" s="60"/>
    </row>
    <row r="330" spans="2:11" ht="0.75" customHeight="1">
      <c r="B330" s="1"/>
      <c r="C330" s="2"/>
      <c r="D330" s="126">
        <v>0.6666666666666666</v>
      </c>
      <c r="E330" s="125">
        <v>11</v>
      </c>
      <c r="F330" s="125">
        <v>7.777777777777778</v>
      </c>
      <c r="G330" s="125">
        <v>7.333333333333333</v>
      </c>
      <c r="H330" s="126"/>
      <c r="I330" s="124"/>
      <c r="J330" s="129"/>
      <c r="K330" s="60"/>
    </row>
    <row r="331" spans="2:15" ht="0.75" customHeight="1">
      <c r="B331" s="1"/>
      <c r="C331" s="2"/>
      <c r="D331" s="126">
        <v>1</v>
      </c>
      <c r="E331" s="125">
        <v>10.75</v>
      </c>
      <c r="F331" s="125">
        <v>11.5</v>
      </c>
      <c r="G331" s="125">
        <v>10.75</v>
      </c>
      <c r="H331" s="126"/>
      <c r="I331" s="124"/>
      <c r="J331" s="129"/>
      <c r="K331" s="60"/>
      <c r="N331"/>
      <c r="O331"/>
    </row>
    <row r="332" spans="1:15" ht="0.75" customHeight="1">
      <c r="A332"/>
      <c r="B332" s="1"/>
      <c r="C332" s="2"/>
      <c r="D332" s="126">
        <v>1.3333333333333333</v>
      </c>
      <c r="E332" s="125">
        <v>10.5</v>
      </c>
      <c r="F332" s="125">
        <v>15.11111111111111</v>
      </c>
      <c r="G332" s="125">
        <v>14</v>
      </c>
      <c r="H332" s="126"/>
      <c r="I332" s="124"/>
      <c r="J332" s="129"/>
      <c r="K332" s="60"/>
      <c r="N332"/>
      <c r="O332"/>
    </row>
    <row r="333" spans="1:15" ht="0.75" customHeight="1">
      <c r="A333"/>
      <c r="B333" s="1"/>
      <c r="C333" s="2"/>
      <c r="D333" s="126">
        <v>1.6666666666666667</v>
      </c>
      <c r="E333" s="125">
        <v>10.25</v>
      </c>
      <c r="F333" s="125">
        <v>18.61111111111111</v>
      </c>
      <c r="G333" s="125">
        <v>17.083333333333336</v>
      </c>
      <c r="H333" s="126"/>
      <c r="I333" s="124"/>
      <c r="J333" s="129"/>
      <c r="K333" s="60"/>
      <c r="N333"/>
      <c r="O333"/>
    </row>
    <row r="334" spans="1:15" ht="0.75" customHeight="1">
      <c r="A334"/>
      <c r="B334" s="1"/>
      <c r="C334" s="2"/>
      <c r="D334" s="126">
        <v>2</v>
      </c>
      <c r="E334" s="125">
        <v>10</v>
      </c>
      <c r="F334" s="125">
        <v>22</v>
      </c>
      <c r="G334" s="125">
        <v>20</v>
      </c>
      <c r="H334" s="126"/>
      <c r="I334" s="101"/>
      <c r="J334" s="129"/>
      <c r="K334" s="60"/>
      <c r="N334"/>
      <c r="O334"/>
    </row>
    <row r="335" spans="2:15" ht="0.75" customHeight="1">
      <c r="B335" s="1"/>
      <c r="C335" s="2"/>
      <c r="D335" s="126">
        <v>2.3333333333333335</v>
      </c>
      <c r="E335" s="125">
        <v>9.75</v>
      </c>
      <c r="F335" s="125">
        <v>25.27777777777778</v>
      </c>
      <c r="G335" s="125">
        <v>22.75</v>
      </c>
      <c r="H335" s="126"/>
      <c r="I335" s="101"/>
      <c r="J335" s="129"/>
      <c r="K335" s="60"/>
      <c r="N335"/>
      <c r="O335"/>
    </row>
    <row r="336" spans="2:15" ht="0.75" customHeight="1">
      <c r="B336" s="1"/>
      <c r="C336" s="2"/>
      <c r="D336" s="126">
        <v>2.6666666666666665</v>
      </c>
      <c r="E336" s="125">
        <v>9.5</v>
      </c>
      <c r="F336" s="125">
        <v>28.444444444444443</v>
      </c>
      <c r="G336" s="125">
        <v>25.333333333333332</v>
      </c>
      <c r="H336" s="126"/>
      <c r="I336" s="101"/>
      <c r="J336" s="129"/>
      <c r="K336" s="60"/>
      <c r="N336"/>
      <c r="O336"/>
    </row>
    <row r="337" spans="2:15" ht="0.75" customHeight="1">
      <c r="B337" s="1"/>
      <c r="C337" s="2"/>
      <c r="D337" s="126">
        <v>3</v>
      </c>
      <c r="E337" s="125">
        <v>9.25</v>
      </c>
      <c r="F337" s="125">
        <v>31.5</v>
      </c>
      <c r="G337" s="125">
        <v>27.75</v>
      </c>
      <c r="H337" s="126"/>
      <c r="I337" s="101"/>
      <c r="J337" s="129"/>
      <c r="K337" s="60"/>
      <c r="N337"/>
      <c r="O337"/>
    </row>
    <row r="338" spans="2:15" ht="0.75" customHeight="1">
      <c r="B338" s="1"/>
      <c r="C338" s="2"/>
      <c r="D338" s="126">
        <v>3.3333333333333335</v>
      </c>
      <c r="E338" s="125">
        <v>9</v>
      </c>
      <c r="F338" s="125">
        <v>34.44444444444444</v>
      </c>
      <c r="G338" s="125">
        <v>30</v>
      </c>
      <c r="H338" s="126"/>
      <c r="I338" s="101"/>
      <c r="J338" s="129"/>
      <c r="K338" s="60"/>
      <c r="N338"/>
      <c r="O338"/>
    </row>
    <row r="339" spans="2:15" ht="0.75" customHeight="1">
      <c r="B339" s="1"/>
      <c r="C339" s="2"/>
      <c r="D339" s="126">
        <v>3.6666666666666665</v>
      </c>
      <c r="E339" s="125">
        <v>8.75</v>
      </c>
      <c r="F339" s="125">
        <v>37.27777777777778</v>
      </c>
      <c r="G339" s="125">
        <v>32.08333333333333</v>
      </c>
      <c r="H339" s="126"/>
      <c r="I339" s="101"/>
      <c r="J339" s="129"/>
      <c r="K339" s="60"/>
      <c r="N339"/>
      <c r="O339"/>
    </row>
    <row r="340" spans="2:15" ht="0.75" customHeight="1">
      <c r="B340" s="1"/>
      <c r="C340" s="2"/>
      <c r="D340" s="126">
        <v>4</v>
      </c>
      <c r="E340" s="125">
        <v>8.5</v>
      </c>
      <c r="F340" s="125">
        <v>40</v>
      </c>
      <c r="G340" s="125">
        <v>34</v>
      </c>
      <c r="H340" s="126"/>
      <c r="I340" s="101"/>
      <c r="J340" s="129"/>
      <c r="K340" s="60"/>
      <c r="N340"/>
      <c r="O340"/>
    </row>
    <row r="341" spans="2:11" ht="0.75" customHeight="1">
      <c r="B341" s="1"/>
      <c r="C341" s="2"/>
      <c r="D341" s="126">
        <v>4.333333333333333</v>
      </c>
      <c r="E341" s="125">
        <v>8.25</v>
      </c>
      <c r="F341" s="125">
        <v>42.611111111111114</v>
      </c>
      <c r="G341" s="125">
        <v>35.75</v>
      </c>
      <c r="H341" s="126"/>
      <c r="I341" s="101"/>
      <c r="J341" s="129"/>
      <c r="K341" s="60"/>
    </row>
    <row r="342" spans="2:11" ht="0.75" customHeight="1">
      <c r="B342" s="1"/>
      <c r="C342" s="2"/>
      <c r="D342" s="126">
        <v>4.666666666666667</v>
      </c>
      <c r="E342" s="125">
        <v>8</v>
      </c>
      <c r="F342" s="125">
        <v>45.11111111111111</v>
      </c>
      <c r="G342" s="125">
        <v>37.333333333333336</v>
      </c>
      <c r="H342" s="126"/>
      <c r="I342" s="101"/>
      <c r="J342" s="129"/>
      <c r="K342" s="60"/>
    </row>
    <row r="343" spans="2:11" ht="0.75" customHeight="1">
      <c r="B343" s="1"/>
      <c r="C343" s="2"/>
      <c r="D343" s="126">
        <v>5</v>
      </c>
      <c r="E343" s="125">
        <v>7.75</v>
      </c>
      <c r="F343" s="125">
        <v>47.5</v>
      </c>
      <c r="G343" s="125">
        <v>38.75</v>
      </c>
      <c r="H343" s="126"/>
      <c r="I343" s="101"/>
      <c r="J343" s="129"/>
      <c r="K343" s="60"/>
    </row>
    <row r="344" spans="2:11" ht="0.75" customHeight="1">
      <c r="B344" s="1"/>
      <c r="C344" s="2"/>
      <c r="D344" s="126">
        <v>5.333333333333333</v>
      </c>
      <c r="E344" s="125">
        <v>7.5</v>
      </c>
      <c r="F344" s="125">
        <v>49.77777777777778</v>
      </c>
      <c r="G344" s="125">
        <v>40</v>
      </c>
      <c r="H344" s="126"/>
      <c r="I344" s="101"/>
      <c r="J344" s="129"/>
      <c r="K344" s="60"/>
    </row>
    <row r="345" spans="2:11" ht="0.75" customHeight="1">
      <c r="B345" s="1"/>
      <c r="C345" s="2"/>
      <c r="D345" s="126">
        <v>5.666666666666667</v>
      </c>
      <c r="E345" s="125">
        <v>7.25</v>
      </c>
      <c r="F345" s="125">
        <v>51.94444444444444</v>
      </c>
      <c r="G345" s="125">
        <v>41.083333333333336</v>
      </c>
      <c r="H345" s="126"/>
      <c r="I345" s="101"/>
      <c r="J345" s="129"/>
      <c r="K345" s="60"/>
    </row>
    <row r="346" spans="2:11" ht="0.75" customHeight="1">
      <c r="B346" s="1"/>
      <c r="C346" s="2"/>
      <c r="D346" s="126">
        <v>6</v>
      </c>
      <c r="E346" s="125">
        <v>7</v>
      </c>
      <c r="F346" s="125">
        <v>54</v>
      </c>
      <c r="G346" s="125">
        <v>42</v>
      </c>
      <c r="H346" s="126"/>
      <c r="I346" s="101"/>
      <c r="J346" s="129"/>
      <c r="K346" s="60"/>
    </row>
    <row r="347" spans="2:11" ht="0.75" customHeight="1">
      <c r="B347" s="1"/>
      <c r="C347" s="2"/>
      <c r="D347" s="126">
        <v>6.333333333333333</v>
      </c>
      <c r="E347" s="125">
        <v>6.75</v>
      </c>
      <c r="F347" s="125">
        <v>55.94444444444444</v>
      </c>
      <c r="G347" s="125">
        <v>42.75</v>
      </c>
      <c r="H347" s="126"/>
      <c r="I347" s="101"/>
      <c r="J347" s="129"/>
      <c r="K347" s="60"/>
    </row>
    <row r="348" spans="2:11" ht="0.75" customHeight="1">
      <c r="B348" s="1"/>
      <c r="C348" s="2"/>
      <c r="D348" s="124">
        <v>6.666666666666667</v>
      </c>
      <c r="E348" s="136">
        <v>6.5</v>
      </c>
      <c r="F348" s="133">
        <v>57.77777777777777</v>
      </c>
      <c r="G348" s="133">
        <v>43.333333333333336</v>
      </c>
      <c r="H348" s="126"/>
      <c r="I348" s="101"/>
      <c r="J348" s="129"/>
      <c r="K348" s="60"/>
    </row>
    <row r="349" spans="2:11" ht="0.75" customHeight="1">
      <c r="B349" s="1"/>
      <c r="C349" s="2"/>
      <c r="D349" s="126">
        <v>7</v>
      </c>
      <c r="E349" s="125">
        <v>6.25</v>
      </c>
      <c r="F349" s="125">
        <v>59.5</v>
      </c>
      <c r="G349" s="125">
        <v>43.75</v>
      </c>
      <c r="H349" s="126"/>
      <c r="I349" s="101"/>
      <c r="J349" s="129"/>
      <c r="K349" s="60"/>
    </row>
    <row r="350" spans="2:11" ht="0.75" customHeight="1">
      <c r="B350" s="1"/>
      <c r="C350" s="2"/>
      <c r="D350" s="126">
        <v>7.333333333333333</v>
      </c>
      <c r="E350" s="125">
        <v>6</v>
      </c>
      <c r="F350" s="125">
        <v>61.111111111111114</v>
      </c>
      <c r="G350" s="125">
        <v>44</v>
      </c>
      <c r="H350" s="126"/>
      <c r="I350" s="128"/>
      <c r="J350" s="129"/>
      <c r="K350" s="60"/>
    </row>
    <row r="351" spans="2:11" ht="0.75" customHeight="1">
      <c r="B351" s="1"/>
      <c r="C351" s="2"/>
      <c r="D351" s="132">
        <v>7.666666666666667</v>
      </c>
      <c r="E351" s="127">
        <v>5.75</v>
      </c>
      <c r="F351" s="127">
        <v>62.61111111111111</v>
      </c>
      <c r="G351" s="127">
        <v>44.083333333333336</v>
      </c>
      <c r="H351" s="132"/>
      <c r="I351" s="128"/>
      <c r="J351" s="129"/>
      <c r="K351" s="60"/>
    </row>
    <row r="352" spans="2:11" ht="0.75" customHeight="1">
      <c r="B352" s="1"/>
      <c r="C352" s="2"/>
      <c r="D352" s="126">
        <v>8</v>
      </c>
      <c r="E352" s="125">
        <v>5.5</v>
      </c>
      <c r="F352" s="125">
        <v>64</v>
      </c>
      <c r="G352" s="125">
        <v>44</v>
      </c>
      <c r="H352" s="132"/>
      <c r="I352" s="128"/>
      <c r="J352" s="129"/>
      <c r="K352" s="60"/>
    </row>
    <row r="353" spans="2:11" ht="0.75" customHeight="1">
      <c r="B353" s="1"/>
      <c r="C353" s="2"/>
      <c r="D353" s="126">
        <v>8.333333333333334</v>
      </c>
      <c r="E353" s="125">
        <v>5.25</v>
      </c>
      <c r="F353" s="125">
        <v>65.27777777777777</v>
      </c>
      <c r="G353" s="125">
        <v>43.75</v>
      </c>
      <c r="H353" s="132"/>
      <c r="I353" s="128"/>
      <c r="J353" s="129"/>
      <c r="K353" s="60"/>
    </row>
    <row r="354" spans="2:11" ht="0.75" customHeight="1">
      <c r="B354" s="1"/>
      <c r="C354" s="2"/>
      <c r="D354" s="126">
        <v>8.666666666666666</v>
      </c>
      <c r="E354" s="125">
        <v>5</v>
      </c>
      <c r="F354" s="125">
        <v>66.44444444444446</v>
      </c>
      <c r="G354" s="125">
        <v>43.33333333333333</v>
      </c>
      <c r="H354" s="126"/>
      <c r="I354" s="124"/>
      <c r="J354" s="129"/>
      <c r="K354" s="60"/>
    </row>
    <row r="355" spans="2:11" ht="0.75" customHeight="1">
      <c r="B355" s="1"/>
      <c r="C355" s="2"/>
      <c r="D355" s="126">
        <v>9</v>
      </c>
      <c r="E355" s="125">
        <v>4.75</v>
      </c>
      <c r="F355" s="125">
        <v>67.5</v>
      </c>
      <c r="G355" s="125">
        <v>42.75</v>
      </c>
      <c r="H355" s="126"/>
      <c r="I355" s="124"/>
      <c r="J355" s="129"/>
      <c r="K355" s="60"/>
    </row>
    <row r="356" spans="2:11" ht="0.75" customHeight="1">
      <c r="B356" s="1"/>
      <c r="C356" s="2"/>
      <c r="D356" s="126">
        <v>9.333333333333334</v>
      </c>
      <c r="E356" s="125">
        <v>4.5</v>
      </c>
      <c r="F356" s="125">
        <v>68.44444444444443</v>
      </c>
      <c r="G356" s="125">
        <v>42</v>
      </c>
      <c r="H356" s="126"/>
      <c r="I356" s="124"/>
      <c r="J356" s="129"/>
      <c r="K356" s="60"/>
    </row>
    <row r="357" spans="2:11" ht="0.75" customHeight="1">
      <c r="B357" s="1"/>
      <c r="C357" s="2"/>
      <c r="D357" s="126">
        <v>9.666666666666666</v>
      </c>
      <c r="E357" s="125">
        <v>4.25</v>
      </c>
      <c r="F357" s="125">
        <v>69.27777777777779</v>
      </c>
      <c r="G357" s="125">
        <v>41.08333333333333</v>
      </c>
      <c r="H357" s="126"/>
      <c r="I357" s="124"/>
      <c r="J357" s="129"/>
      <c r="K357" s="60"/>
    </row>
    <row r="358" spans="2:11" ht="0.75" customHeight="1">
      <c r="B358" s="1"/>
      <c r="C358" s="2"/>
      <c r="D358" s="126">
        <v>10</v>
      </c>
      <c r="E358" s="125">
        <v>4</v>
      </c>
      <c r="F358" s="125">
        <v>70</v>
      </c>
      <c r="G358" s="125">
        <v>40</v>
      </c>
      <c r="H358" s="126"/>
      <c r="I358" s="124"/>
      <c r="J358" s="129"/>
      <c r="K358" s="60"/>
    </row>
    <row r="359" spans="2:11" ht="0.75" customHeight="1">
      <c r="B359" s="1"/>
      <c r="C359" s="2"/>
      <c r="D359" s="126">
        <v>10.333333333333334</v>
      </c>
      <c r="E359" s="125">
        <v>3.75</v>
      </c>
      <c r="F359" s="125">
        <v>70.61111111111111</v>
      </c>
      <c r="G359" s="125">
        <v>38.75</v>
      </c>
      <c r="H359" s="126"/>
      <c r="I359" s="124"/>
      <c r="J359" s="129"/>
      <c r="K359" s="60"/>
    </row>
    <row r="360" spans="2:11" ht="0.75" customHeight="1">
      <c r="B360" s="1"/>
      <c r="C360" s="2"/>
      <c r="D360" s="126">
        <v>10.666666666666666</v>
      </c>
      <c r="E360" s="125">
        <v>3.5</v>
      </c>
      <c r="F360" s="125">
        <v>71.11111111111111</v>
      </c>
      <c r="G360" s="125">
        <v>37.33333333333333</v>
      </c>
      <c r="H360" s="126"/>
      <c r="I360" s="124"/>
      <c r="J360" s="129"/>
      <c r="K360" s="60"/>
    </row>
    <row r="361" spans="2:11" ht="0.75" customHeight="1">
      <c r="B361" s="1"/>
      <c r="C361" s="2"/>
      <c r="D361" s="126">
        <v>11</v>
      </c>
      <c r="E361" s="125">
        <v>3.25</v>
      </c>
      <c r="F361" s="125">
        <v>71.5</v>
      </c>
      <c r="G361" s="125">
        <v>35.75</v>
      </c>
      <c r="H361" s="126"/>
      <c r="I361" s="124"/>
      <c r="J361" s="129"/>
      <c r="K361" s="60"/>
    </row>
    <row r="362" spans="2:11" ht="0.75" customHeight="1">
      <c r="B362" s="1"/>
      <c r="C362" s="2"/>
      <c r="D362" s="126">
        <v>11.333333333333334</v>
      </c>
      <c r="E362" s="125">
        <v>3</v>
      </c>
      <c r="F362" s="125">
        <v>71.77777777777777</v>
      </c>
      <c r="G362" s="125">
        <v>34</v>
      </c>
      <c r="H362" s="126"/>
      <c r="I362" s="124"/>
      <c r="J362" s="129"/>
      <c r="K362" s="60"/>
    </row>
    <row r="363" spans="2:11" ht="0.75" customHeight="1">
      <c r="B363" s="1"/>
      <c r="C363" s="2"/>
      <c r="D363" s="126">
        <v>11.666666666666666</v>
      </c>
      <c r="E363" s="125">
        <v>2.75</v>
      </c>
      <c r="F363" s="125">
        <v>71.94444444444446</v>
      </c>
      <c r="G363" s="125">
        <v>32.08333333333333</v>
      </c>
      <c r="H363" s="126"/>
      <c r="I363" s="124"/>
      <c r="J363" s="129"/>
      <c r="K363" s="60"/>
    </row>
    <row r="364" spans="2:11" ht="0.75" customHeight="1">
      <c r="B364" s="1"/>
      <c r="C364" s="2"/>
      <c r="D364" s="126">
        <v>12</v>
      </c>
      <c r="E364" s="125">
        <v>2.5</v>
      </c>
      <c r="F364" s="125">
        <v>72</v>
      </c>
      <c r="G364" s="125">
        <v>30</v>
      </c>
      <c r="H364" s="126"/>
      <c r="I364" s="124"/>
      <c r="J364" s="129"/>
      <c r="K364" s="60"/>
    </row>
    <row r="365" spans="2:11" ht="0.75" customHeight="1">
      <c r="B365" s="1"/>
      <c r="C365" s="2"/>
      <c r="D365" s="126">
        <v>12.333333333333334</v>
      </c>
      <c r="E365" s="125">
        <v>2.25</v>
      </c>
      <c r="F365" s="125">
        <v>71.94444444444444</v>
      </c>
      <c r="G365" s="125">
        <v>27.75</v>
      </c>
      <c r="H365" s="126"/>
      <c r="I365" s="124"/>
      <c r="J365" s="129"/>
      <c r="K365" s="60"/>
    </row>
    <row r="366" spans="2:11" ht="0.75" customHeight="1">
      <c r="B366" s="1"/>
      <c r="C366" s="2"/>
      <c r="D366" s="126">
        <v>12.666666666666666</v>
      </c>
      <c r="E366" s="125">
        <v>2</v>
      </c>
      <c r="F366" s="125">
        <v>71.77777777777779</v>
      </c>
      <c r="G366" s="125">
        <v>25.333333333333332</v>
      </c>
      <c r="H366" s="126"/>
      <c r="I366" s="124"/>
      <c r="J366" s="129"/>
      <c r="K366" s="60"/>
    </row>
    <row r="367" spans="2:11" ht="0.75" customHeight="1">
      <c r="B367" s="1"/>
      <c r="C367" s="2"/>
      <c r="D367" s="126">
        <v>13</v>
      </c>
      <c r="E367" s="125">
        <v>1.75</v>
      </c>
      <c r="F367" s="125">
        <v>71.5</v>
      </c>
      <c r="G367" s="125">
        <v>22.75</v>
      </c>
      <c r="H367" s="126"/>
      <c r="I367" s="124"/>
      <c r="J367" s="129"/>
      <c r="K367" s="60"/>
    </row>
    <row r="368" spans="2:11" ht="0.75" customHeight="1">
      <c r="B368" s="1"/>
      <c r="C368" s="2"/>
      <c r="D368" s="126">
        <v>13.333333333333334</v>
      </c>
      <c r="E368" s="125">
        <v>1.5</v>
      </c>
      <c r="F368" s="125">
        <v>71.1111111111111</v>
      </c>
      <c r="G368" s="125">
        <v>20</v>
      </c>
      <c r="H368" s="126"/>
      <c r="I368" s="124"/>
      <c r="J368" s="129"/>
      <c r="K368" s="60"/>
    </row>
    <row r="369" spans="2:11" ht="0.75" customHeight="1">
      <c r="B369" s="1"/>
      <c r="C369" s="2"/>
      <c r="D369" s="126">
        <v>13.666666666666666</v>
      </c>
      <c r="E369" s="125">
        <v>1.25</v>
      </c>
      <c r="F369" s="125">
        <v>70.61111111111111</v>
      </c>
      <c r="G369" s="125">
        <v>17.083333333333332</v>
      </c>
      <c r="H369" s="126"/>
      <c r="I369" s="124"/>
      <c r="J369" s="129"/>
      <c r="K369" s="60"/>
    </row>
    <row r="370" spans="2:11" ht="0.75" customHeight="1">
      <c r="B370" s="1"/>
      <c r="C370" s="2"/>
      <c r="D370" s="126">
        <v>14</v>
      </c>
      <c r="E370" s="125">
        <v>1</v>
      </c>
      <c r="F370" s="125">
        <v>70</v>
      </c>
      <c r="G370" s="125">
        <v>14</v>
      </c>
      <c r="H370" s="126"/>
      <c r="I370" s="124"/>
      <c r="J370" s="129"/>
      <c r="K370" s="60"/>
    </row>
    <row r="371" spans="2:11" ht="0.75" customHeight="1">
      <c r="B371" s="1"/>
      <c r="C371" s="2"/>
      <c r="D371" s="126">
        <v>14.333333333333334</v>
      </c>
      <c r="E371" s="125">
        <v>0.75</v>
      </c>
      <c r="F371" s="125">
        <v>69.27777777777777</v>
      </c>
      <c r="G371" s="125">
        <v>10.75</v>
      </c>
      <c r="H371" s="126"/>
      <c r="I371" s="124"/>
      <c r="J371" s="129"/>
      <c r="K371" s="60"/>
    </row>
    <row r="372" spans="2:11" ht="0.75" customHeight="1">
      <c r="B372" s="1"/>
      <c r="C372" s="2"/>
      <c r="D372" s="126">
        <v>14.666666666666666</v>
      </c>
      <c r="E372" s="125">
        <v>0.5</v>
      </c>
      <c r="F372" s="125">
        <v>68.44444444444446</v>
      </c>
      <c r="G372" s="125">
        <v>7.333333333333333</v>
      </c>
      <c r="H372" s="126"/>
      <c r="I372" s="124"/>
      <c r="J372" s="129"/>
      <c r="K372" s="60"/>
    </row>
    <row r="373" spans="2:11" ht="0.75" customHeight="1">
      <c r="B373" s="1"/>
      <c r="C373" s="2"/>
      <c r="D373" s="126">
        <v>15</v>
      </c>
      <c r="E373" s="125">
        <v>0.25</v>
      </c>
      <c r="F373" s="125">
        <v>67.5</v>
      </c>
      <c r="G373" s="125">
        <v>3.75</v>
      </c>
      <c r="H373" s="126"/>
      <c r="I373" s="124"/>
      <c r="J373" s="129"/>
      <c r="K373" s="60"/>
    </row>
    <row r="374" spans="2:11" ht="0.75" customHeight="1">
      <c r="B374" s="1"/>
      <c r="C374" s="2"/>
      <c r="D374" s="124">
        <v>15.333333333333334</v>
      </c>
      <c r="E374" s="125">
        <v>0</v>
      </c>
      <c r="F374" s="125">
        <v>66.44444444444443</v>
      </c>
      <c r="G374" s="125">
        <v>0</v>
      </c>
      <c r="H374" s="124"/>
      <c r="I374" s="124"/>
      <c r="J374" s="129"/>
      <c r="K374" s="60"/>
    </row>
    <row r="375" spans="2:13" ht="0.75" customHeight="1">
      <c r="B375" s="1"/>
      <c r="C375" s="2"/>
      <c r="D375" s="133"/>
      <c r="E375" s="133"/>
      <c r="F375" s="125"/>
      <c r="G375" s="126"/>
      <c r="H375" s="120"/>
      <c r="I375" s="129"/>
      <c r="J375" s="124"/>
      <c r="K375" s="124"/>
      <c r="L375" s="124"/>
      <c r="M375" s="124"/>
    </row>
    <row r="376" spans="2:13" ht="0.75" customHeight="1">
      <c r="B376" s="1"/>
      <c r="C376" s="2"/>
      <c r="D376" s="133"/>
      <c r="E376" s="133"/>
      <c r="F376" s="125"/>
      <c r="G376" s="126"/>
      <c r="H376" s="120"/>
      <c r="I376" s="129"/>
      <c r="J376" s="124"/>
      <c r="K376" s="124"/>
      <c r="L376" s="124"/>
      <c r="M376" s="124"/>
    </row>
    <row r="377" spans="2:13" ht="0.75" customHeight="1">
      <c r="B377" s="1"/>
      <c r="C377" s="2"/>
      <c r="D377" s="133"/>
      <c r="E377" s="133"/>
      <c r="F377" s="125"/>
      <c r="G377" s="126"/>
      <c r="H377" s="120"/>
      <c r="I377" s="129"/>
      <c r="J377" s="124"/>
      <c r="K377" s="124"/>
      <c r="L377" s="124"/>
      <c r="M377" s="124"/>
    </row>
    <row r="378" spans="2:13" ht="0.75" customHeight="1">
      <c r="B378" s="1"/>
      <c r="C378" s="2"/>
      <c r="D378" s="133"/>
      <c r="E378" s="133"/>
      <c r="F378" s="125"/>
      <c r="G378" s="126"/>
      <c r="H378" s="120"/>
      <c r="I378" s="129"/>
      <c r="J378" s="124"/>
      <c r="K378" s="124"/>
      <c r="L378" s="124"/>
      <c r="M378" s="124"/>
    </row>
    <row r="379" spans="2:13" ht="0.75" customHeight="1">
      <c r="B379" s="1"/>
      <c r="C379" s="2"/>
      <c r="D379" s="133"/>
      <c r="E379" s="133"/>
      <c r="F379" s="125"/>
      <c r="G379" s="126"/>
      <c r="H379" s="120"/>
      <c r="I379" s="129"/>
      <c r="J379" s="124"/>
      <c r="K379" s="124"/>
      <c r="L379" s="124"/>
      <c r="M379" s="124"/>
    </row>
    <row r="380" spans="2:13" ht="0.75" customHeight="1">
      <c r="B380" s="1"/>
      <c r="C380" s="2"/>
      <c r="D380" s="133"/>
      <c r="E380" s="133"/>
      <c r="F380" s="125"/>
      <c r="G380" s="126"/>
      <c r="H380" s="120"/>
      <c r="I380" s="129"/>
      <c r="J380" s="124"/>
      <c r="K380" s="124"/>
      <c r="L380" s="124"/>
      <c r="M380" s="124"/>
    </row>
    <row r="381" spans="2:13" ht="0.75" customHeight="1">
      <c r="B381" s="1"/>
      <c r="C381" s="2"/>
      <c r="D381" s="133"/>
      <c r="E381" s="133"/>
      <c r="F381" s="125"/>
      <c r="G381" s="126"/>
      <c r="H381" s="120"/>
      <c r="I381" s="129"/>
      <c r="J381" s="124"/>
      <c r="K381" s="124"/>
      <c r="L381" s="124"/>
      <c r="M381" s="124"/>
    </row>
    <row r="382" spans="2:13" ht="0.75" customHeight="1">
      <c r="B382" s="1"/>
      <c r="C382" s="2"/>
      <c r="D382" s="133"/>
      <c r="E382" s="133"/>
      <c r="F382" s="125"/>
      <c r="G382" s="126"/>
      <c r="H382" s="120"/>
      <c r="I382" s="129"/>
      <c r="J382" s="124"/>
      <c r="K382" s="124"/>
      <c r="L382" s="124"/>
      <c r="M382" s="124"/>
    </row>
    <row r="383" spans="2:13" ht="0.75" customHeight="1">
      <c r="B383" s="1"/>
      <c r="C383" s="2"/>
      <c r="D383" s="133"/>
      <c r="E383" s="133"/>
      <c r="F383" s="125"/>
      <c r="G383" s="126"/>
      <c r="H383" s="120"/>
      <c r="I383" s="129"/>
      <c r="J383" s="124"/>
      <c r="K383" s="124"/>
      <c r="L383" s="124"/>
      <c r="M383" s="124"/>
    </row>
    <row r="384" spans="2:13" ht="0.75" customHeight="1">
      <c r="B384" s="1"/>
      <c r="C384" s="2"/>
      <c r="D384" s="133"/>
      <c r="E384" s="133"/>
      <c r="F384" s="125"/>
      <c r="G384" s="126"/>
      <c r="H384" s="120"/>
      <c r="I384" s="129"/>
      <c r="J384" s="124"/>
      <c r="K384" s="124"/>
      <c r="L384" s="124"/>
      <c r="M384" s="124"/>
    </row>
    <row r="385" spans="2:13" ht="0.75" customHeight="1">
      <c r="B385" s="1"/>
      <c r="C385" s="2"/>
      <c r="D385" s="133"/>
      <c r="E385" s="133"/>
      <c r="F385" s="125"/>
      <c r="G385" s="126"/>
      <c r="H385" s="120"/>
      <c r="I385" s="129"/>
      <c r="J385" s="124"/>
      <c r="K385" s="124"/>
      <c r="L385" s="124"/>
      <c r="M385" s="124"/>
    </row>
    <row r="386" spans="2:13" ht="0.75" customHeight="1">
      <c r="B386" s="1"/>
      <c r="C386" s="2"/>
      <c r="D386" s="133"/>
      <c r="E386" s="133"/>
      <c r="F386" s="125"/>
      <c r="G386" s="126"/>
      <c r="H386" s="120"/>
      <c r="I386" s="129"/>
      <c r="J386" s="124"/>
      <c r="K386" s="124"/>
      <c r="L386" s="124"/>
      <c r="M386" s="124"/>
    </row>
    <row r="387" spans="2:13" ht="0.75" customHeight="1">
      <c r="B387" s="1"/>
      <c r="C387" s="2"/>
      <c r="D387" s="133"/>
      <c r="E387" s="133"/>
      <c r="F387" s="125"/>
      <c r="G387" s="126"/>
      <c r="H387" s="120"/>
      <c r="I387" s="129"/>
      <c r="J387" s="124"/>
      <c r="K387" s="124"/>
      <c r="L387" s="124"/>
      <c r="M387" s="124"/>
    </row>
    <row r="388" spans="2:13" ht="0.75" customHeight="1">
      <c r="B388" s="1"/>
      <c r="C388" s="2"/>
      <c r="D388" s="133"/>
      <c r="E388" s="133"/>
      <c r="F388" s="125"/>
      <c r="G388" s="126"/>
      <c r="H388" s="120"/>
      <c r="I388" s="129"/>
      <c r="J388" s="124"/>
      <c r="K388" s="124"/>
      <c r="L388" s="124"/>
      <c r="M388" s="124"/>
    </row>
    <row r="389" spans="2:13" ht="0.75" customHeight="1">
      <c r="B389" s="1"/>
      <c r="C389" s="2"/>
      <c r="D389" s="133"/>
      <c r="E389" s="133"/>
      <c r="F389" s="125"/>
      <c r="G389" s="126"/>
      <c r="H389" s="120"/>
      <c r="I389" s="129"/>
      <c r="J389" s="124"/>
      <c r="K389" s="124"/>
      <c r="L389" s="124"/>
      <c r="M389" s="124"/>
    </row>
    <row r="390" spans="2:13" ht="0.75" customHeight="1">
      <c r="B390" s="1"/>
      <c r="C390" s="2"/>
      <c r="D390" s="133"/>
      <c r="E390" s="133"/>
      <c r="F390" s="125"/>
      <c r="G390" s="126"/>
      <c r="H390" s="120"/>
      <c r="I390" s="129"/>
      <c r="J390" s="124"/>
      <c r="K390" s="124"/>
      <c r="L390" s="124"/>
      <c r="M390" s="124"/>
    </row>
    <row r="391" spans="2:13" ht="0.75" customHeight="1">
      <c r="B391" s="1"/>
      <c r="C391" s="2"/>
      <c r="D391" s="133"/>
      <c r="E391" s="133"/>
      <c r="F391" s="125"/>
      <c r="G391" s="126"/>
      <c r="H391" s="120"/>
      <c r="I391" s="129"/>
      <c r="J391" s="124"/>
      <c r="K391" s="124"/>
      <c r="L391" s="124"/>
      <c r="M391" s="124"/>
    </row>
    <row r="392" spans="2:13" ht="0.75" customHeight="1">
      <c r="B392" s="1"/>
      <c r="C392" s="2"/>
      <c r="D392" s="133"/>
      <c r="E392" s="133"/>
      <c r="F392" s="125"/>
      <c r="G392" s="126"/>
      <c r="H392" s="120"/>
      <c r="I392" s="129"/>
      <c r="J392" s="124"/>
      <c r="K392" s="124"/>
      <c r="L392" s="124"/>
      <c r="M392" s="124"/>
    </row>
    <row r="393" spans="2:13" ht="0.75" customHeight="1">
      <c r="B393" s="1"/>
      <c r="C393" s="2"/>
      <c r="D393" s="133"/>
      <c r="E393" s="133"/>
      <c r="F393" s="125"/>
      <c r="G393" s="126"/>
      <c r="H393" s="120"/>
      <c r="I393" s="129"/>
      <c r="J393" s="124"/>
      <c r="K393" s="124"/>
      <c r="L393" s="124"/>
      <c r="M393" s="124"/>
    </row>
    <row r="394" spans="2:13" ht="0.75" customHeight="1">
      <c r="B394" s="1"/>
      <c r="C394" s="2"/>
      <c r="D394" s="133"/>
      <c r="E394" s="133"/>
      <c r="F394" s="125"/>
      <c r="G394" s="126"/>
      <c r="H394" s="120"/>
      <c r="I394" s="129"/>
      <c r="J394" s="124"/>
      <c r="K394" s="124"/>
      <c r="L394" s="124"/>
      <c r="M394" s="124"/>
    </row>
    <row r="395" spans="2:13" ht="0.75" customHeight="1">
      <c r="B395" s="1"/>
      <c r="C395" s="2"/>
      <c r="D395" s="133"/>
      <c r="E395" s="133"/>
      <c r="F395" s="125"/>
      <c r="G395" s="126"/>
      <c r="H395" s="120"/>
      <c r="I395" s="129"/>
      <c r="J395" s="124"/>
      <c r="K395" s="124"/>
      <c r="L395" s="124"/>
      <c r="M395" s="124"/>
    </row>
    <row r="396" spans="2:13" ht="0.75" customHeight="1">
      <c r="B396" s="1"/>
      <c r="C396" s="2"/>
      <c r="D396" s="133"/>
      <c r="E396" s="133"/>
      <c r="F396" s="125"/>
      <c r="G396" s="126"/>
      <c r="H396" s="120"/>
      <c r="I396" s="129"/>
      <c r="J396" s="124"/>
      <c r="K396" s="124"/>
      <c r="L396" s="124"/>
      <c r="M396" s="124"/>
    </row>
    <row r="397" spans="2:13" ht="0.75" customHeight="1">
      <c r="B397" s="1"/>
      <c r="C397" s="2"/>
      <c r="D397" s="133"/>
      <c r="E397" s="133"/>
      <c r="F397" s="125"/>
      <c r="G397" s="126"/>
      <c r="H397" s="120"/>
      <c r="I397" s="129"/>
      <c r="J397" s="124"/>
      <c r="K397" s="124"/>
      <c r="L397" s="124"/>
      <c r="M397" s="124"/>
    </row>
    <row r="398" spans="2:13" ht="0.75" customHeight="1">
      <c r="B398" s="1"/>
      <c r="C398" s="2"/>
      <c r="D398" s="133"/>
      <c r="E398" s="133"/>
      <c r="F398" s="125"/>
      <c r="G398" s="126"/>
      <c r="H398" s="120"/>
      <c r="I398" s="129"/>
      <c r="J398" s="124"/>
      <c r="K398" s="124"/>
      <c r="L398" s="124"/>
      <c r="M398" s="124"/>
    </row>
    <row r="399" spans="2:13" ht="0.75" customHeight="1">
      <c r="B399" s="1"/>
      <c r="C399" s="2"/>
      <c r="D399" s="133"/>
      <c r="E399" s="133"/>
      <c r="F399" s="125"/>
      <c r="G399" s="126"/>
      <c r="H399" s="120"/>
      <c r="I399" s="129"/>
      <c r="J399" s="124"/>
      <c r="K399" s="124"/>
      <c r="L399" s="124"/>
      <c r="M399" s="124"/>
    </row>
    <row r="400" spans="2:13" ht="0.75" customHeight="1">
      <c r="B400" s="1"/>
      <c r="C400" s="2"/>
      <c r="D400" s="133"/>
      <c r="E400" s="133"/>
      <c r="F400" s="125"/>
      <c r="G400" s="126"/>
      <c r="H400" s="120"/>
      <c r="I400" s="129"/>
      <c r="J400" s="124"/>
      <c r="K400" s="124"/>
      <c r="L400" s="124"/>
      <c r="M400" s="124"/>
    </row>
    <row r="401" spans="2:13" ht="0.75" customHeight="1">
      <c r="B401" s="1"/>
      <c r="C401" s="2"/>
      <c r="D401" s="133"/>
      <c r="E401" s="133"/>
      <c r="F401" s="125"/>
      <c r="G401" s="126"/>
      <c r="H401" s="120"/>
      <c r="I401" s="129"/>
      <c r="J401" s="124"/>
      <c r="K401" s="124"/>
      <c r="L401" s="124"/>
      <c r="M401" s="124"/>
    </row>
    <row r="402" spans="2:13" ht="0.75" customHeight="1">
      <c r="B402" s="1"/>
      <c r="C402" s="2"/>
      <c r="D402" s="133"/>
      <c r="E402" s="133"/>
      <c r="F402" s="125"/>
      <c r="G402" s="126"/>
      <c r="H402" s="120"/>
      <c r="I402" s="129"/>
      <c r="J402" s="124"/>
      <c r="K402" s="124"/>
      <c r="L402" s="124"/>
      <c r="M402" s="124"/>
    </row>
    <row r="403" spans="2:13" ht="0.75" customHeight="1">
      <c r="B403" s="1"/>
      <c r="C403" s="2"/>
      <c r="D403" s="133" t="s">
        <v>174</v>
      </c>
      <c r="E403" s="137" t="s">
        <v>54</v>
      </c>
      <c r="F403" s="137" t="s">
        <v>55</v>
      </c>
      <c r="G403" s="139" t="s">
        <v>56</v>
      </c>
      <c r="H403" s="137" t="s">
        <v>115</v>
      </c>
      <c r="I403" s="137" t="s">
        <v>116</v>
      </c>
      <c r="J403" s="29" t="s">
        <v>117</v>
      </c>
      <c r="K403" s="124"/>
      <c r="L403" s="124"/>
      <c r="M403" s="124"/>
    </row>
    <row r="404" spans="2:13" ht="0.75" customHeight="1">
      <c r="B404" s="1"/>
      <c r="C404" s="2"/>
      <c r="D404" s="140">
        <v>0</v>
      </c>
      <c r="E404" s="138">
        <f>$E$266+$F$266*D404</f>
        <v>10</v>
      </c>
      <c r="F404" s="137">
        <f aca="true" t="shared" si="2" ref="F404:F434">$E$267+$F$267*D404</f>
        <v>0.6</v>
      </c>
      <c r="G404" s="137">
        <f aca="true" t="shared" si="3" ref="G404:G434">IF(($E$270)&lt;=E404,($E$270),)</f>
        <v>5.3</v>
      </c>
      <c r="H404" s="137">
        <f aca="true" t="shared" si="4" ref="H404:H434">IF(($F$281)&lt;=E404,($F$281),)</f>
        <v>7.65</v>
      </c>
      <c r="I404" s="137">
        <f aca="true" t="shared" si="5" ref="I404:I434">IF(($F$282)&gt;=F404,($F$282),)</f>
        <v>2.95</v>
      </c>
      <c r="J404" s="29">
        <f aca="true" t="shared" si="6" ref="J404:J434">$E$267+$F$283+$F$267*D404</f>
        <v>5.3</v>
      </c>
      <c r="K404" s="124"/>
      <c r="L404" s="124"/>
      <c r="M404" s="124"/>
    </row>
    <row r="405" spans="2:13" ht="0.75" customHeight="1">
      <c r="B405" s="1"/>
      <c r="C405" s="2"/>
      <c r="D405" s="126">
        <v>1</v>
      </c>
      <c r="E405" s="138">
        <f aca="true" t="shared" si="7" ref="E405:E434">IF(($E$266+$F$266*D405)&gt;0,($E$266+$F$266*D405),0)</f>
        <v>9.8</v>
      </c>
      <c r="F405" s="137">
        <f t="shared" si="2"/>
        <v>0.8</v>
      </c>
      <c r="G405" s="137">
        <f t="shared" si="3"/>
        <v>5.3</v>
      </c>
      <c r="H405" s="137">
        <f t="shared" si="4"/>
        <v>7.65</v>
      </c>
      <c r="I405" s="137">
        <f t="shared" si="5"/>
        <v>2.95</v>
      </c>
      <c r="J405" s="138">
        <f t="shared" si="6"/>
        <v>5.5</v>
      </c>
      <c r="K405" s="124"/>
      <c r="L405" s="124"/>
      <c r="M405" s="124"/>
    </row>
    <row r="406" spans="2:13" ht="0.75" customHeight="1">
      <c r="B406" s="1"/>
      <c r="C406" s="2"/>
      <c r="D406" s="126">
        <f>D405+1</f>
        <v>2</v>
      </c>
      <c r="E406" s="138">
        <f t="shared" si="7"/>
        <v>9.6</v>
      </c>
      <c r="F406" s="137">
        <f t="shared" si="2"/>
        <v>1</v>
      </c>
      <c r="G406" s="137">
        <f t="shared" si="3"/>
        <v>5.3</v>
      </c>
      <c r="H406" s="137">
        <f t="shared" si="4"/>
        <v>7.65</v>
      </c>
      <c r="I406" s="137">
        <f t="shared" si="5"/>
        <v>2.95</v>
      </c>
      <c r="J406" s="138">
        <f t="shared" si="6"/>
        <v>5.7</v>
      </c>
      <c r="K406" s="124"/>
      <c r="L406" s="124"/>
      <c r="M406" s="124"/>
    </row>
    <row r="407" spans="2:13" ht="0.75" customHeight="1">
      <c r="B407" s="1"/>
      <c r="C407" s="2"/>
      <c r="D407" s="126">
        <f aca="true" t="shared" si="8" ref="D407:D433">D406+1</f>
        <v>3</v>
      </c>
      <c r="E407" s="138">
        <f t="shared" si="7"/>
        <v>9.4</v>
      </c>
      <c r="F407" s="137">
        <f t="shared" si="2"/>
        <v>1.2000000000000002</v>
      </c>
      <c r="G407" s="137">
        <f t="shared" si="3"/>
        <v>5.3</v>
      </c>
      <c r="H407" s="137">
        <f t="shared" si="4"/>
        <v>7.65</v>
      </c>
      <c r="I407" s="137">
        <f t="shared" si="5"/>
        <v>2.95</v>
      </c>
      <c r="J407" s="138">
        <f t="shared" si="6"/>
        <v>5.9</v>
      </c>
      <c r="K407" s="124"/>
      <c r="L407" s="124"/>
      <c r="M407" s="124"/>
    </row>
    <row r="408" spans="2:13" ht="0.75" customHeight="1">
      <c r="B408" s="1"/>
      <c r="C408" s="2"/>
      <c r="D408" s="126">
        <f t="shared" si="8"/>
        <v>4</v>
      </c>
      <c r="E408" s="138">
        <f t="shared" si="7"/>
        <v>9.2</v>
      </c>
      <c r="F408" s="137">
        <f t="shared" si="2"/>
        <v>1.4</v>
      </c>
      <c r="G408" s="137">
        <f t="shared" si="3"/>
        <v>5.3</v>
      </c>
      <c r="H408" s="137">
        <f t="shared" si="4"/>
        <v>7.65</v>
      </c>
      <c r="I408" s="137">
        <f t="shared" si="5"/>
        <v>2.95</v>
      </c>
      <c r="J408" s="138">
        <f t="shared" si="6"/>
        <v>6.1</v>
      </c>
      <c r="K408" s="124"/>
      <c r="L408" s="124"/>
      <c r="M408" s="124"/>
    </row>
    <row r="409" spans="2:13" ht="0.75" customHeight="1">
      <c r="B409" s="1"/>
      <c r="C409" s="2"/>
      <c r="D409" s="126">
        <f t="shared" si="8"/>
        <v>5</v>
      </c>
      <c r="E409" s="138">
        <f t="shared" si="7"/>
        <v>9</v>
      </c>
      <c r="F409" s="137">
        <f t="shared" si="2"/>
        <v>1.6</v>
      </c>
      <c r="G409" s="137">
        <f t="shared" si="3"/>
        <v>5.3</v>
      </c>
      <c r="H409" s="137">
        <f t="shared" si="4"/>
        <v>7.65</v>
      </c>
      <c r="I409" s="137">
        <f t="shared" si="5"/>
        <v>2.95</v>
      </c>
      <c r="J409" s="138">
        <f t="shared" si="6"/>
        <v>6.3</v>
      </c>
      <c r="K409" s="124"/>
      <c r="L409" s="124"/>
      <c r="M409" s="124"/>
    </row>
    <row r="410" spans="2:13" ht="0.75" customHeight="1">
      <c r="B410" s="1"/>
      <c r="C410" s="2"/>
      <c r="D410" s="126">
        <f t="shared" si="8"/>
        <v>6</v>
      </c>
      <c r="E410" s="138">
        <f t="shared" si="7"/>
        <v>8.8</v>
      </c>
      <c r="F410" s="137">
        <f t="shared" si="2"/>
        <v>1.8000000000000003</v>
      </c>
      <c r="G410" s="137">
        <f t="shared" si="3"/>
        <v>5.3</v>
      </c>
      <c r="H410" s="137">
        <f t="shared" si="4"/>
        <v>7.65</v>
      </c>
      <c r="I410" s="137">
        <f t="shared" si="5"/>
        <v>2.95</v>
      </c>
      <c r="J410" s="138">
        <f t="shared" si="6"/>
        <v>6.5</v>
      </c>
      <c r="K410" s="124"/>
      <c r="L410" s="124"/>
      <c r="M410" s="124"/>
    </row>
    <row r="411" spans="2:10" ht="0.75" customHeight="1">
      <c r="B411" s="1"/>
      <c r="C411" s="2"/>
      <c r="D411" s="126">
        <f t="shared" si="8"/>
        <v>7</v>
      </c>
      <c r="E411" s="138">
        <f t="shared" si="7"/>
        <v>8.6</v>
      </c>
      <c r="F411" s="137">
        <f t="shared" si="2"/>
        <v>2</v>
      </c>
      <c r="G411" s="137">
        <f t="shared" si="3"/>
        <v>5.3</v>
      </c>
      <c r="H411" s="137">
        <f t="shared" si="4"/>
        <v>7.65</v>
      </c>
      <c r="I411" s="137">
        <f t="shared" si="5"/>
        <v>2.95</v>
      </c>
      <c r="J411" s="138">
        <f t="shared" si="6"/>
        <v>6.7</v>
      </c>
    </row>
    <row r="412" spans="2:10" ht="0.75" customHeight="1">
      <c r="B412" s="1"/>
      <c r="C412" s="2"/>
      <c r="D412" s="126">
        <f t="shared" si="8"/>
        <v>8</v>
      </c>
      <c r="E412" s="138">
        <f t="shared" si="7"/>
        <v>8.4</v>
      </c>
      <c r="F412" s="137">
        <f t="shared" si="2"/>
        <v>2.2</v>
      </c>
      <c r="G412" s="137">
        <f t="shared" si="3"/>
        <v>5.3</v>
      </c>
      <c r="H412" s="137">
        <f t="shared" si="4"/>
        <v>7.65</v>
      </c>
      <c r="I412" s="137">
        <f t="shared" si="5"/>
        <v>2.95</v>
      </c>
      <c r="J412" s="138">
        <f t="shared" si="6"/>
        <v>6.9</v>
      </c>
    </row>
    <row r="413" spans="2:10" ht="0.75" customHeight="1">
      <c r="B413" s="1"/>
      <c r="C413" s="2"/>
      <c r="D413" s="126">
        <f t="shared" si="8"/>
        <v>9</v>
      </c>
      <c r="E413" s="138">
        <f t="shared" si="7"/>
        <v>8.2</v>
      </c>
      <c r="F413" s="137">
        <f t="shared" si="2"/>
        <v>2.4</v>
      </c>
      <c r="G413" s="137">
        <f t="shared" si="3"/>
        <v>5.3</v>
      </c>
      <c r="H413" s="137">
        <f t="shared" si="4"/>
        <v>7.65</v>
      </c>
      <c r="I413" s="137">
        <f t="shared" si="5"/>
        <v>2.95</v>
      </c>
      <c r="J413" s="138">
        <f t="shared" si="6"/>
        <v>7.1</v>
      </c>
    </row>
    <row r="414" spans="2:10" ht="0.75" customHeight="1">
      <c r="B414" s="1"/>
      <c r="C414" s="2"/>
      <c r="D414" s="126">
        <f t="shared" si="8"/>
        <v>10</v>
      </c>
      <c r="E414" s="138">
        <f t="shared" si="7"/>
        <v>8</v>
      </c>
      <c r="F414" s="137">
        <f t="shared" si="2"/>
        <v>2.6</v>
      </c>
      <c r="G414" s="137">
        <f t="shared" si="3"/>
        <v>5.3</v>
      </c>
      <c r="H414" s="137">
        <f t="shared" si="4"/>
        <v>7.65</v>
      </c>
      <c r="I414" s="137">
        <f t="shared" si="5"/>
        <v>2.95</v>
      </c>
      <c r="J414" s="138">
        <f t="shared" si="6"/>
        <v>7.3</v>
      </c>
    </row>
    <row r="415" spans="2:15" ht="0.75" customHeight="1">
      <c r="B415" s="1"/>
      <c r="C415" s="2"/>
      <c r="D415" s="126">
        <f t="shared" si="8"/>
        <v>11</v>
      </c>
      <c r="E415" s="138">
        <f t="shared" si="7"/>
        <v>7.8</v>
      </c>
      <c r="F415" s="137">
        <f t="shared" si="2"/>
        <v>2.8000000000000003</v>
      </c>
      <c r="G415" s="137">
        <f t="shared" si="3"/>
        <v>5.3</v>
      </c>
      <c r="H415" s="137">
        <f t="shared" si="4"/>
        <v>7.65</v>
      </c>
      <c r="I415" s="137">
        <f t="shared" si="5"/>
        <v>2.95</v>
      </c>
      <c r="J415" s="138">
        <f t="shared" si="6"/>
        <v>7.5</v>
      </c>
      <c r="N415" s="124"/>
      <c r="O415" s="124"/>
    </row>
    <row r="416" spans="2:15" ht="0.75" customHeight="1">
      <c r="B416" s="1"/>
      <c r="C416" s="2"/>
      <c r="D416" s="126">
        <f t="shared" si="8"/>
        <v>12</v>
      </c>
      <c r="E416" s="138">
        <f t="shared" si="7"/>
        <v>7.6</v>
      </c>
      <c r="F416" s="137">
        <f t="shared" si="2"/>
        <v>3.0000000000000004</v>
      </c>
      <c r="G416" s="137">
        <f t="shared" si="3"/>
        <v>5.3</v>
      </c>
      <c r="H416" s="137">
        <f t="shared" si="4"/>
        <v>0</v>
      </c>
      <c r="I416" s="137">
        <f t="shared" si="5"/>
        <v>0</v>
      </c>
      <c r="J416" s="138">
        <f t="shared" si="6"/>
        <v>7.7</v>
      </c>
      <c r="N416" s="124"/>
      <c r="O416" s="124"/>
    </row>
    <row r="417" spans="2:15" ht="0.75" customHeight="1">
      <c r="B417" s="1"/>
      <c r="C417" s="2"/>
      <c r="D417" s="126">
        <f t="shared" si="8"/>
        <v>13</v>
      </c>
      <c r="E417" s="138">
        <f t="shared" si="7"/>
        <v>7.4</v>
      </c>
      <c r="F417" s="137">
        <f t="shared" si="2"/>
        <v>3.2</v>
      </c>
      <c r="G417" s="137">
        <f t="shared" si="3"/>
        <v>5.3</v>
      </c>
      <c r="H417" s="137">
        <f t="shared" si="4"/>
        <v>0</v>
      </c>
      <c r="I417" s="137">
        <f t="shared" si="5"/>
        <v>0</v>
      </c>
      <c r="J417" s="138">
        <f t="shared" si="6"/>
        <v>7.9</v>
      </c>
      <c r="N417" s="124"/>
      <c r="O417" s="124"/>
    </row>
    <row r="418" spans="2:15" ht="0.75" customHeight="1">
      <c r="B418" s="1"/>
      <c r="C418" s="2"/>
      <c r="D418" s="126">
        <f t="shared" si="8"/>
        <v>14</v>
      </c>
      <c r="E418" s="138">
        <f t="shared" si="7"/>
        <v>7.199999999999999</v>
      </c>
      <c r="F418" s="137">
        <f t="shared" si="2"/>
        <v>3.4000000000000004</v>
      </c>
      <c r="G418" s="137">
        <f t="shared" si="3"/>
        <v>5.3</v>
      </c>
      <c r="H418" s="137">
        <f t="shared" si="4"/>
        <v>0</v>
      </c>
      <c r="I418" s="137">
        <f t="shared" si="5"/>
        <v>0</v>
      </c>
      <c r="J418" s="138">
        <f t="shared" si="6"/>
        <v>8.1</v>
      </c>
      <c r="N418" s="124"/>
      <c r="O418" s="124"/>
    </row>
    <row r="419" spans="2:15" ht="0.75" customHeight="1">
      <c r="B419" s="1"/>
      <c r="C419" s="2"/>
      <c r="D419" s="126">
        <f t="shared" si="8"/>
        <v>15</v>
      </c>
      <c r="E419" s="138">
        <f t="shared" si="7"/>
        <v>7</v>
      </c>
      <c r="F419" s="137">
        <f t="shared" si="2"/>
        <v>3.6</v>
      </c>
      <c r="G419" s="137">
        <f t="shared" si="3"/>
        <v>5.3</v>
      </c>
      <c r="H419" s="137">
        <f t="shared" si="4"/>
        <v>0</v>
      </c>
      <c r="I419" s="137">
        <f t="shared" si="5"/>
        <v>0</v>
      </c>
      <c r="J419" s="138">
        <f t="shared" si="6"/>
        <v>8.3</v>
      </c>
      <c r="N419" s="124"/>
      <c r="O419" s="124"/>
    </row>
    <row r="420" spans="2:15" ht="0.75" customHeight="1">
      <c r="B420" s="1"/>
      <c r="C420" s="2"/>
      <c r="D420" s="126">
        <f t="shared" si="8"/>
        <v>16</v>
      </c>
      <c r="E420" s="138">
        <f t="shared" si="7"/>
        <v>6.8</v>
      </c>
      <c r="F420" s="137">
        <f t="shared" si="2"/>
        <v>3.8000000000000003</v>
      </c>
      <c r="G420" s="137">
        <f t="shared" si="3"/>
        <v>5.3</v>
      </c>
      <c r="H420" s="137">
        <f t="shared" si="4"/>
        <v>0</v>
      </c>
      <c r="I420" s="137">
        <f t="shared" si="5"/>
        <v>0</v>
      </c>
      <c r="J420" s="138">
        <f t="shared" si="6"/>
        <v>8.5</v>
      </c>
      <c r="N420" s="124"/>
      <c r="O420" s="124"/>
    </row>
    <row r="421" spans="2:15" ht="0.75" customHeight="1">
      <c r="B421" s="1"/>
      <c r="C421" s="2"/>
      <c r="D421" s="126">
        <f t="shared" si="8"/>
        <v>17</v>
      </c>
      <c r="E421" s="138">
        <f t="shared" si="7"/>
        <v>6.6</v>
      </c>
      <c r="F421" s="137">
        <f t="shared" si="2"/>
        <v>4</v>
      </c>
      <c r="G421" s="137">
        <f t="shared" si="3"/>
        <v>5.3</v>
      </c>
      <c r="H421" s="137">
        <f t="shared" si="4"/>
        <v>0</v>
      </c>
      <c r="I421" s="137">
        <f t="shared" si="5"/>
        <v>0</v>
      </c>
      <c r="J421" s="138">
        <f t="shared" si="6"/>
        <v>8.7</v>
      </c>
      <c r="N421" s="124"/>
      <c r="O421" s="124"/>
    </row>
    <row r="422" spans="2:15" ht="0.75" customHeight="1">
      <c r="B422" s="1"/>
      <c r="C422" s="2"/>
      <c r="D422" s="126">
        <f t="shared" si="8"/>
        <v>18</v>
      </c>
      <c r="E422" s="138">
        <f t="shared" si="7"/>
        <v>6.4</v>
      </c>
      <c r="F422" s="137">
        <f t="shared" si="2"/>
        <v>4.2</v>
      </c>
      <c r="G422" s="137">
        <f t="shared" si="3"/>
        <v>5.3</v>
      </c>
      <c r="H422" s="137">
        <f t="shared" si="4"/>
        <v>0</v>
      </c>
      <c r="I422" s="137">
        <f t="shared" si="5"/>
        <v>0</v>
      </c>
      <c r="J422" s="138">
        <f t="shared" si="6"/>
        <v>8.9</v>
      </c>
      <c r="N422" s="124"/>
      <c r="O422" s="124"/>
    </row>
    <row r="423" spans="2:15" ht="0.75" customHeight="1">
      <c r="B423" s="1"/>
      <c r="C423" s="2"/>
      <c r="D423" s="126">
        <f t="shared" si="8"/>
        <v>19</v>
      </c>
      <c r="E423" s="138">
        <f t="shared" si="7"/>
        <v>6.199999999999999</v>
      </c>
      <c r="F423" s="137">
        <f t="shared" si="2"/>
        <v>4.4</v>
      </c>
      <c r="G423" s="137">
        <f t="shared" si="3"/>
        <v>5.3</v>
      </c>
      <c r="H423" s="137">
        <f t="shared" si="4"/>
        <v>0</v>
      </c>
      <c r="I423" s="137">
        <f t="shared" si="5"/>
        <v>0</v>
      </c>
      <c r="J423" s="138">
        <f t="shared" si="6"/>
        <v>9.1</v>
      </c>
      <c r="N423" s="124"/>
      <c r="O423" s="124"/>
    </row>
    <row r="424" spans="2:15" ht="0.75" customHeight="1">
      <c r="B424" s="1"/>
      <c r="C424" s="2"/>
      <c r="D424" s="126">
        <f t="shared" si="8"/>
        <v>20</v>
      </c>
      <c r="E424" s="138">
        <f t="shared" si="7"/>
        <v>6</v>
      </c>
      <c r="F424" s="137">
        <f t="shared" si="2"/>
        <v>4.6</v>
      </c>
      <c r="G424" s="137">
        <f t="shared" si="3"/>
        <v>5.3</v>
      </c>
      <c r="H424" s="137">
        <f t="shared" si="4"/>
        <v>0</v>
      </c>
      <c r="I424" s="137">
        <f t="shared" si="5"/>
        <v>0</v>
      </c>
      <c r="J424" s="138">
        <f t="shared" si="6"/>
        <v>9.3</v>
      </c>
      <c r="N424" s="124"/>
      <c r="O424" s="124"/>
    </row>
    <row r="425" spans="2:15" ht="0.75" customHeight="1">
      <c r="B425" s="1"/>
      <c r="C425" s="2"/>
      <c r="D425" s="126">
        <f t="shared" si="8"/>
        <v>21</v>
      </c>
      <c r="E425" s="138">
        <f t="shared" si="7"/>
        <v>5.8</v>
      </c>
      <c r="F425" s="137">
        <f t="shared" si="2"/>
        <v>4.8</v>
      </c>
      <c r="G425" s="137">
        <f t="shared" si="3"/>
        <v>5.3</v>
      </c>
      <c r="H425" s="137">
        <f t="shared" si="4"/>
        <v>0</v>
      </c>
      <c r="I425" s="137">
        <f t="shared" si="5"/>
        <v>0</v>
      </c>
      <c r="J425" s="138">
        <f t="shared" si="6"/>
        <v>9.5</v>
      </c>
      <c r="N425" s="124"/>
      <c r="O425" s="124"/>
    </row>
    <row r="426" spans="2:15" ht="0.75" customHeight="1">
      <c r="B426" s="1"/>
      <c r="C426" s="2"/>
      <c r="D426" s="126">
        <f t="shared" si="8"/>
        <v>22</v>
      </c>
      <c r="E426" s="138">
        <f t="shared" si="7"/>
        <v>5.6</v>
      </c>
      <c r="F426" s="137">
        <f t="shared" si="2"/>
        <v>5</v>
      </c>
      <c r="G426" s="137">
        <f t="shared" si="3"/>
        <v>5.3</v>
      </c>
      <c r="H426" s="137">
        <f t="shared" si="4"/>
        <v>0</v>
      </c>
      <c r="I426" s="137">
        <f t="shared" si="5"/>
        <v>0</v>
      </c>
      <c r="J426" s="138">
        <f t="shared" si="6"/>
        <v>9.7</v>
      </c>
      <c r="N426" s="124"/>
      <c r="O426" s="124"/>
    </row>
    <row r="427" spans="2:15" ht="0.75" customHeight="1">
      <c r="B427" s="1"/>
      <c r="C427" s="2"/>
      <c r="D427" s="126">
        <f t="shared" si="8"/>
        <v>23</v>
      </c>
      <c r="E427" s="138">
        <f t="shared" si="7"/>
        <v>5.3999999999999995</v>
      </c>
      <c r="F427" s="137">
        <f t="shared" si="2"/>
        <v>5.2</v>
      </c>
      <c r="G427" s="137">
        <f t="shared" si="3"/>
        <v>5.3</v>
      </c>
      <c r="H427" s="137">
        <f t="shared" si="4"/>
        <v>0</v>
      </c>
      <c r="I427" s="137">
        <f t="shared" si="5"/>
        <v>0</v>
      </c>
      <c r="J427" s="138">
        <f t="shared" si="6"/>
        <v>9.9</v>
      </c>
      <c r="N427" s="124"/>
      <c r="O427" s="124"/>
    </row>
    <row r="428" spans="2:15" ht="0.75" customHeight="1">
      <c r="B428" s="1"/>
      <c r="C428" s="2"/>
      <c r="D428" s="126">
        <f t="shared" si="8"/>
        <v>24</v>
      </c>
      <c r="E428" s="138">
        <f t="shared" si="7"/>
        <v>5.199999999999999</v>
      </c>
      <c r="F428" s="137">
        <f t="shared" si="2"/>
        <v>5.4</v>
      </c>
      <c r="G428" s="137">
        <f t="shared" si="3"/>
        <v>0</v>
      </c>
      <c r="H428" s="137">
        <f t="shared" si="4"/>
        <v>0</v>
      </c>
      <c r="I428" s="137">
        <f t="shared" si="5"/>
        <v>0</v>
      </c>
      <c r="J428" s="138">
        <f t="shared" si="6"/>
        <v>10.100000000000001</v>
      </c>
      <c r="N428" s="124"/>
      <c r="O428" s="124"/>
    </row>
    <row r="429" spans="2:15" ht="0.75" customHeight="1">
      <c r="B429" s="1"/>
      <c r="C429" s="2"/>
      <c r="D429" s="126">
        <f t="shared" si="8"/>
        <v>25</v>
      </c>
      <c r="E429" s="138">
        <f t="shared" si="7"/>
        <v>5</v>
      </c>
      <c r="F429" s="137">
        <f t="shared" si="2"/>
        <v>5.6</v>
      </c>
      <c r="G429" s="137">
        <f t="shared" si="3"/>
        <v>0</v>
      </c>
      <c r="H429" s="137">
        <f t="shared" si="4"/>
        <v>0</v>
      </c>
      <c r="I429" s="137">
        <f t="shared" si="5"/>
        <v>0</v>
      </c>
      <c r="J429" s="138">
        <f t="shared" si="6"/>
        <v>10.3</v>
      </c>
      <c r="N429" s="124"/>
      <c r="O429" s="124"/>
    </row>
    <row r="430" spans="2:15" ht="0.75" customHeight="1">
      <c r="B430" s="1"/>
      <c r="C430" s="2"/>
      <c r="D430" s="126">
        <f t="shared" si="8"/>
        <v>26</v>
      </c>
      <c r="E430" s="138">
        <f t="shared" si="7"/>
        <v>4.8</v>
      </c>
      <c r="F430" s="137">
        <f t="shared" si="2"/>
        <v>5.8</v>
      </c>
      <c r="G430" s="137">
        <f t="shared" si="3"/>
        <v>0</v>
      </c>
      <c r="H430" s="137">
        <f t="shared" si="4"/>
        <v>0</v>
      </c>
      <c r="I430" s="137">
        <f t="shared" si="5"/>
        <v>0</v>
      </c>
      <c r="J430" s="138">
        <f t="shared" si="6"/>
        <v>10.5</v>
      </c>
      <c r="N430" s="124"/>
      <c r="O430" s="124"/>
    </row>
    <row r="431" spans="2:15" ht="0.75" customHeight="1">
      <c r="B431" s="1"/>
      <c r="C431" s="2"/>
      <c r="D431" s="126">
        <f t="shared" si="8"/>
        <v>27</v>
      </c>
      <c r="E431" s="138">
        <f t="shared" si="7"/>
        <v>4.6</v>
      </c>
      <c r="F431" s="137">
        <f t="shared" si="2"/>
        <v>6</v>
      </c>
      <c r="G431" s="137">
        <f t="shared" si="3"/>
        <v>0</v>
      </c>
      <c r="H431" s="137">
        <f t="shared" si="4"/>
        <v>0</v>
      </c>
      <c r="I431" s="137">
        <f t="shared" si="5"/>
        <v>0</v>
      </c>
      <c r="J431" s="138">
        <f t="shared" si="6"/>
        <v>10.7</v>
      </c>
      <c r="N431" s="124"/>
      <c r="O431" s="124"/>
    </row>
    <row r="432" spans="2:15" ht="0.75" customHeight="1">
      <c r="B432" s="1"/>
      <c r="C432" s="2"/>
      <c r="D432" s="126">
        <f t="shared" si="8"/>
        <v>28</v>
      </c>
      <c r="E432" s="138">
        <f t="shared" si="7"/>
        <v>4.3999999999999995</v>
      </c>
      <c r="F432" s="137">
        <f t="shared" si="2"/>
        <v>6.2</v>
      </c>
      <c r="G432" s="137">
        <f t="shared" si="3"/>
        <v>0</v>
      </c>
      <c r="H432" s="137">
        <f t="shared" si="4"/>
        <v>0</v>
      </c>
      <c r="I432" s="137">
        <f t="shared" si="5"/>
        <v>0</v>
      </c>
      <c r="J432" s="138">
        <f t="shared" si="6"/>
        <v>10.9</v>
      </c>
      <c r="N432" s="124"/>
      <c r="O432" s="124"/>
    </row>
    <row r="433" spans="2:15" ht="0.75" customHeight="1">
      <c r="B433" s="1"/>
      <c r="C433" s="2"/>
      <c r="D433" s="126">
        <f t="shared" si="8"/>
        <v>29</v>
      </c>
      <c r="E433" s="138">
        <f t="shared" si="7"/>
        <v>4.199999999999999</v>
      </c>
      <c r="F433" s="137">
        <f t="shared" si="2"/>
        <v>6.4</v>
      </c>
      <c r="G433" s="137">
        <f t="shared" si="3"/>
        <v>0</v>
      </c>
      <c r="H433" s="137">
        <f t="shared" si="4"/>
        <v>0</v>
      </c>
      <c r="I433" s="137">
        <f t="shared" si="5"/>
        <v>0</v>
      </c>
      <c r="J433" s="138">
        <f t="shared" si="6"/>
        <v>11.100000000000001</v>
      </c>
      <c r="N433" s="124"/>
      <c r="O433" s="124"/>
    </row>
    <row r="434" spans="2:15" ht="0.75" customHeight="1">
      <c r="B434" s="1"/>
      <c r="C434" s="2"/>
      <c r="D434" s="126">
        <f>D433+1</f>
        <v>30</v>
      </c>
      <c r="E434" s="138">
        <f t="shared" si="7"/>
        <v>4</v>
      </c>
      <c r="F434" s="137">
        <f t="shared" si="2"/>
        <v>6.6</v>
      </c>
      <c r="G434" s="137">
        <f t="shared" si="3"/>
        <v>0</v>
      </c>
      <c r="H434" s="137">
        <f t="shared" si="4"/>
        <v>0</v>
      </c>
      <c r="I434" s="137">
        <f t="shared" si="5"/>
        <v>0</v>
      </c>
      <c r="J434" s="138">
        <f t="shared" si="6"/>
        <v>11.3</v>
      </c>
      <c r="N434" s="124"/>
      <c r="O434" s="124"/>
    </row>
    <row r="435" spans="2:15" ht="0.75" customHeight="1">
      <c r="B435" s="1"/>
      <c r="C435" s="2"/>
      <c r="N435" s="124"/>
      <c r="O435" s="124"/>
    </row>
    <row r="436" spans="2:15" ht="0.75" customHeight="1">
      <c r="B436" s="1"/>
      <c r="C436" s="2"/>
      <c r="N436" s="124"/>
      <c r="O436" s="124"/>
    </row>
    <row r="437" spans="2:15" ht="0.75" customHeight="1">
      <c r="B437" s="1"/>
      <c r="C437" s="2"/>
      <c r="N437" s="124"/>
      <c r="O437" s="124"/>
    </row>
    <row r="438" spans="2:15" ht="0.75" customHeight="1">
      <c r="B438" s="1"/>
      <c r="C438" s="2"/>
      <c r="N438" s="124"/>
      <c r="O438" s="124"/>
    </row>
    <row r="439" spans="2:15" ht="0.75" customHeight="1">
      <c r="B439" s="1"/>
      <c r="C439" s="2"/>
      <c r="N439" s="124"/>
      <c r="O439" s="124"/>
    </row>
    <row r="440" spans="3:15" ht="0.75" customHeight="1">
      <c r="C440" s="2"/>
      <c r="N440" s="124"/>
      <c r="O440" s="124"/>
    </row>
    <row r="441" spans="3:15" ht="0.75" customHeight="1">
      <c r="C441" s="2"/>
      <c r="N441" s="124"/>
      <c r="O441" s="124"/>
    </row>
    <row r="442" spans="3:15" ht="0.75" customHeight="1">
      <c r="C442" s="2"/>
      <c r="N442" s="124"/>
      <c r="O442" s="124"/>
    </row>
    <row r="443" spans="3:15" ht="0.75" customHeight="1">
      <c r="C443" s="2"/>
      <c r="N443" s="124"/>
      <c r="O443" s="124"/>
    </row>
    <row r="444" spans="3:15" ht="0.75" customHeight="1">
      <c r="C444" s="2"/>
      <c r="N444" s="124"/>
      <c r="O444" s="124"/>
    </row>
    <row r="445" spans="3:15" ht="0.75" customHeight="1">
      <c r="C445" s="41"/>
      <c r="D445" s="37"/>
      <c r="E445" s="37"/>
      <c r="F445" s="37"/>
      <c r="G445" s="37"/>
      <c r="H445" s="37"/>
      <c r="N445" s="124"/>
      <c r="O445" s="124"/>
    </row>
    <row r="446" spans="3:15" ht="0.75" customHeight="1">
      <c r="C446" s="41"/>
      <c r="D446" s="37"/>
      <c r="E446" s="37"/>
      <c r="F446" s="37"/>
      <c r="G446" s="37"/>
      <c r="H446" s="37"/>
      <c r="N446" s="124"/>
      <c r="O446" s="124"/>
    </row>
    <row r="447" spans="3:15" ht="0.75" customHeight="1">
      <c r="C447" s="41"/>
      <c r="D447" s="37"/>
      <c r="E447" s="37"/>
      <c r="F447" s="37"/>
      <c r="G447" s="37"/>
      <c r="H447" s="37"/>
      <c r="N447" s="124"/>
      <c r="O447" s="124"/>
    </row>
    <row r="448" spans="3:15" ht="0.75" customHeight="1">
      <c r="C448" s="41"/>
      <c r="D448" s="37"/>
      <c r="E448" s="37"/>
      <c r="F448" s="37"/>
      <c r="G448" s="37"/>
      <c r="H448" s="37"/>
      <c r="N448" s="124"/>
      <c r="O448" s="124"/>
    </row>
    <row r="449" spans="3:15" ht="0.75" customHeight="1">
      <c r="C449" s="37" t="s">
        <v>57</v>
      </c>
      <c r="D449" s="37"/>
      <c r="E449" s="37"/>
      <c r="F449" s="37"/>
      <c r="G449" s="37"/>
      <c r="H449" s="37"/>
      <c r="N449" s="124"/>
      <c r="O449" s="124"/>
    </row>
    <row r="450" spans="2:15" ht="0.75" customHeight="1">
      <c r="B450" s="1"/>
      <c r="C450" s="37" t="s">
        <v>60</v>
      </c>
      <c r="D450" s="37"/>
      <c r="E450" s="37"/>
      <c r="F450" s="37"/>
      <c r="G450" s="37"/>
      <c r="H450" s="37"/>
      <c r="N450" s="124"/>
      <c r="O450" s="124"/>
    </row>
    <row r="451" spans="3:8" ht="0.75" customHeight="1">
      <c r="C451" s="37" t="s">
        <v>61</v>
      </c>
      <c r="D451" s="37"/>
      <c r="E451" s="37"/>
      <c r="F451" s="37"/>
      <c r="G451" s="37"/>
      <c r="H451" s="37"/>
    </row>
    <row r="452" spans="2:11" ht="0.75" customHeight="1">
      <c r="B452" s="1"/>
      <c r="C452" s="41"/>
      <c r="D452" s="41"/>
      <c r="E452" s="37"/>
      <c r="F452" s="174" t="s">
        <v>58</v>
      </c>
      <c r="G452" s="99">
        <f>(0.5)*(E266-E267)*(E269)</f>
        <v>110.45</v>
      </c>
      <c r="H452" s="174" t="s">
        <v>63</v>
      </c>
      <c r="I452" s="141">
        <f>E266</f>
        <v>10</v>
      </c>
      <c r="J452" s="142">
        <f>E267</f>
        <v>0.6</v>
      </c>
      <c r="K452" s="143">
        <f>E269</f>
        <v>23.5</v>
      </c>
    </row>
    <row r="453" spans="2:11" ht="0.75" customHeight="1">
      <c r="B453" s="1"/>
      <c r="C453" s="41"/>
      <c r="D453" s="41"/>
      <c r="E453" s="37"/>
      <c r="F453" s="174" t="s">
        <v>59</v>
      </c>
      <c r="G453" s="99">
        <f>(0.5)*(E269-F278)*(F283)</f>
        <v>27.6125</v>
      </c>
      <c r="H453" s="174" t="s">
        <v>64</v>
      </c>
      <c r="I453" s="141">
        <f>E269</f>
        <v>23.5</v>
      </c>
      <c r="J453" s="142">
        <f>F278</f>
        <v>11.75</v>
      </c>
      <c r="K453" s="143">
        <f>F283</f>
        <v>4.7</v>
      </c>
    </row>
    <row r="454" spans="2:10" ht="0.75" customHeight="1">
      <c r="B454" s="1"/>
      <c r="C454" s="41"/>
      <c r="D454" s="41"/>
      <c r="E454" s="37"/>
      <c r="F454" s="174" t="s">
        <v>66</v>
      </c>
      <c r="G454" s="99">
        <f>F284</f>
        <v>55.225</v>
      </c>
      <c r="H454" s="37" t="s">
        <v>65</v>
      </c>
      <c r="I454" s="144">
        <f>F283</f>
        <v>4.7</v>
      </c>
      <c r="J454" s="145">
        <f>H284</f>
        <v>9.125</v>
      </c>
    </row>
    <row r="455" spans="2:8" ht="0.75" customHeight="1">
      <c r="B455" s="1"/>
      <c r="C455" s="41"/>
      <c r="D455" s="41"/>
      <c r="E455" s="37"/>
      <c r="F455" s="174" t="s">
        <v>62</v>
      </c>
      <c r="G455" s="175">
        <f>G453/G454</f>
        <v>0.5</v>
      </c>
      <c r="H455" s="43" t="s">
        <v>67</v>
      </c>
    </row>
    <row r="456" spans="2:8" ht="0.75" customHeight="1">
      <c r="B456" s="1"/>
      <c r="C456" s="41"/>
      <c r="D456" s="37"/>
      <c r="E456" s="37"/>
      <c r="F456" s="37"/>
      <c r="G456" s="37"/>
      <c r="H456" s="37"/>
    </row>
    <row r="457" spans="2:8" ht="0.75" customHeight="1">
      <c r="B457" s="1"/>
      <c r="C457" s="43" t="s">
        <v>68</v>
      </c>
      <c r="D457" s="43"/>
      <c r="E457" s="37"/>
      <c r="F457" s="37"/>
      <c r="G457" s="37"/>
      <c r="H457" s="37"/>
    </row>
    <row r="458" spans="2:8" ht="0.75" customHeight="1">
      <c r="B458" s="1"/>
      <c r="C458" s="43" t="s">
        <v>69</v>
      </c>
      <c r="D458" s="43"/>
      <c r="E458" s="37"/>
      <c r="F458" s="37"/>
      <c r="G458" s="37"/>
      <c r="H458" s="37"/>
    </row>
    <row r="459" spans="3:8" ht="0.75" customHeight="1">
      <c r="C459" s="43" t="s">
        <v>70</v>
      </c>
      <c r="D459" s="37"/>
      <c r="E459" s="37"/>
      <c r="F459" s="37"/>
      <c r="G459" s="37"/>
      <c r="H459" s="37"/>
    </row>
    <row r="460" spans="2:3" ht="0.75" customHeight="1">
      <c r="B460" s="1"/>
      <c r="C460" s="2"/>
    </row>
    <row r="461" spans="2:3" ht="0.75" customHeight="1">
      <c r="B461" s="1"/>
      <c r="C461" s="2"/>
    </row>
    <row r="462" spans="2:3" ht="0.75" customHeight="1">
      <c r="B462" s="1"/>
      <c r="C462" s="2"/>
    </row>
    <row r="463" ht="0.75" customHeight="1">
      <c r="C463" s="2"/>
    </row>
    <row r="464" ht="0.75" customHeight="1">
      <c r="C464" s="2"/>
    </row>
    <row r="465" ht="0.75" customHeight="1">
      <c r="C465" s="2"/>
    </row>
    <row r="466" ht="0.75" customHeight="1">
      <c r="C466" s="2"/>
    </row>
    <row r="467" ht="0.75" customHeight="1">
      <c r="C467" s="2"/>
    </row>
    <row r="468" ht="0.75" customHeight="1">
      <c r="C468" s="2"/>
    </row>
    <row r="469" ht="0.75" customHeight="1">
      <c r="C469" s="2"/>
    </row>
    <row r="470" ht="0.75" customHeight="1">
      <c r="C470" s="2"/>
    </row>
    <row r="471" ht="0.75" customHeight="1">
      <c r="C471" s="2"/>
    </row>
    <row r="472" ht="0.75" customHeight="1">
      <c r="C472" s="2"/>
    </row>
    <row r="473" ht="0.75" customHeight="1">
      <c r="C473" s="2"/>
    </row>
    <row r="474" ht="0.75" customHeight="1">
      <c r="C474" s="2"/>
    </row>
    <row r="475" ht="0.75" customHeight="1">
      <c r="C475" s="2"/>
    </row>
    <row r="476" ht="0.75" customHeight="1">
      <c r="C476" s="2"/>
    </row>
    <row r="477" ht="0.75" customHeight="1">
      <c r="C477" s="2"/>
    </row>
    <row r="478" ht="0.75" customHeight="1">
      <c r="C478" s="2"/>
    </row>
    <row r="479" ht="0.75" customHeight="1">
      <c r="C479" s="2"/>
    </row>
  </sheetData>
  <printOptions/>
  <pageMargins left="0.3" right="0.3" top="1" bottom="1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2005-12-05T19:27:59Z</cp:lastPrinted>
  <dcterms:created xsi:type="dcterms:W3CDTF">1998-11-04T18:36:00Z</dcterms:created>
  <cp:category/>
  <cp:version/>
  <cp:contentType/>
  <cp:contentStatus/>
</cp:coreProperties>
</file>