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120" windowWidth="15100" windowHeight="9500" tabRatio="14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<sst xmlns="http://schemas.openxmlformats.org/spreadsheetml/2006/main" count="210" uniqueCount="131">
  <si>
    <t>damage, are considered healthier for human consumption, or have presumably lower individual</t>
  </si>
  <si>
    <t>risks from their use.  As long as countries produce different goods in international trade, to the extent</t>
  </si>
  <si>
    <t>that goods  are imperfectly competitive substitutes, product standards represent a significant source</t>
  </si>
  <si>
    <t>of trade barrier since governments rather than consumers are restricting the trade in those goods.</t>
  </si>
  <si>
    <t xml:space="preserve">     Let us look first at international trade in the absence of trade barriers.  As long as the opportunity</t>
  </si>
  <si>
    <t>cost of goods across countries differs, there exists in principle a basis for mutual gains through trade.</t>
  </si>
  <si>
    <t>Consider two countries, A andB, with domestic equilbrium determined by the following relationships.  Now</t>
  </si>
  <si>
    <t>if the world price is set at:</t>
  </si>
  <si>
    <t>country A will be an</t>
  </si>
  <si>
    <t>and country be will be</t>
  </si>
  <si>
    <t xml:space="preserve">     Country A</t>
  </si>
  <si>
    <t xml:space="preserve">         Country B</t>
  </si>
  <si>
    <t>Domestic Quantity Equilibrium</t>
  </si>
  <si>
    <t>Domestic Price Equilibrium</t>
  </si>
  <si>
    <t>Domestic Total Revenue</t>
  </si>
  <si>
    <t>Fixed Price Quantity Demanded</t>
  </si>
  <si>
    <t>Fixed Price Quantity Supplied</t>
  </si>
  <si>
    <t>Supply</t>
  </si>
  <si>
    <t>Local Price</t>
  </si>
  <si>
    <t>World Price</t>
  </si>
  <si>
    <t xml:space="preserve">        Figure 1</t>
  </si>
  <si>
    <t xml:space="preserve">       Figure 2</t>
  </si>
  <si>
    <t xml:space="preserve">     As is shown in Figures 1 and 2, as long as domestic demand and supply are different, the global market equilibrium will</t>
  </si>
  <si>
    <t>generate a trading relationship, given the corresponding market equilibrium in each individual country.</t>
  </si>
  <si>
    <t>II.</t>
  </si>
  <si>
    <t>Welfare Effects of Global Trade</t>
  </si>
  <si>
    <t xml:space="preserve">     Prior to the onset of international trade, we can derive the level of total social welfare for each individual country.  To do so</t>
  </si>
  <si>
    <t>we measure the level of consumer surplus and the level of producer surplus as the  respective areas below the demand</t>
  </si>
  <si>
    <t>curve and above the supply curve up to the pre-trade domestic equilibrium price.</t>
  </si>
  <si>
    <t>Pre-Trade Global Social Welfare</t>
  </si>
  <si>
    <t>Country A - Pre-Trade</t>
  </si>
  <si>
    <t>Country B - Pre-Trade</t>
  </si>
  <si>
    <t>Consumer Surplus</t>
  </si>
  <si>
    <t>Producer Surplus</t>
  </si>
  <si>
    <t>Pre-Trade Social Welfare</t>
  </si>
  <si>
    <t>Separatively Additive Social Welfare</t>
  </si>
  <si>
    <t xml:space="preserve">     One trade is opened up, a country with a domestic equilibrium price less than the global market price will become an</t>
  </si>
  <si>
    <t>Difference</t>
  </si>
  <si>
    <t>exporting country, while a country with a domestic equilibrium price above the global market price will become an importing</t>
  </si>
  <si>
    <t>Error Rate</t>
  </si>
  <si>
    <t>country.  As the domestic price rises to the global market price in the exporting country, there is a loss to local consumer</t>
  </si>
  <si>
    <t>surplus (which is captured by domestic producers), but an increase in social welfare arising from the increase in exports</t>
  </si>
  <si>
    <t>to the rest of the world.  We can summarize these effects for each country as follows:</t>
  </si>
  <si>
    <t>Post-Trade Social Welfare for Country A</t>
  </si>
  <si>
    <t xml:space="preserve">    Post-Trade Social Welfare for Country B</t>
  </si>
  <si>
    <t>A.</t>
  </si>
  <si>
    <t>Pre-Trade Consumer Surplus</t>
  </si>
  <si>
    <t>B.</t>
  </si>
  <si>
    <t>Change in Domestic Consumer Surplus</t>
  </si>
  <si>
    <t>C.</t>
  </si>
  <si>
    <t>Trade Gain or Loss in Consumer Surplus</t>
  </si>
  <si>
    <t>D.</t>
  </si>
  <si>
    <t xml:space="preserve"> Net Consumer Surplus (A +/-B +/-C)</t>
  </si>
  <si>
    <t>Post-Trade Net Consumer Surplus</t>
  </si>
  <si>
    <t>E.</t>
  </si>
  <si>
    <t>Pre-Trade Producer Surplus</t>
  </si>
  <si>
    <t>F.</t>
  </si>
  <si>
    <t>Change in Domestic Producer Surplus</t>
  </si>
  <si>
    <t>G.</t>
  </si>
  <si>
    <t>Change in International Producer Surplus</t>
  </si>
  <si>
    <t>H.</t>
  </si>
  <si>
    <t>Net Producer Surplus (E +/-F +/-G)</t>
  </si>
  <si>
    <t>I.</t>
  </si>
  <si>
    <t>Pre-Trade Total Social Welfare</t>
  </si>
  <si>
    <t>J.</t>
  </si>
  <si>
    <t>Post-Trade Social Welfare</t>
  </si>
  <si>
    <t>K.</t>
  </si>
  <si>
    <t>Percent Change in Total Social Welfare</t>
  </si>
  <si>
    <t xml:space="preserve">     If we consider social welfare additive for countries A and B, then the net change in total social welfare can be computed</t>
  </si>
  <si>
    <t>as:</t>
  </si>
  <si>
    <t>A</t>
  </si>
  <si>
    <t>B</t>
  </si>
  <si>
    <t>Total</t>
  </si>
  <si>
    <t>Post Trade Total SocialWelfare</t>
  </si>
  <si>
    <t>Net Relative Change in Global Social Welfare</t>
  </si>
  <si>
    <t>III.</t>
  </si>
  <si>
    <t>Welfare Effects of Quotas and Tariffs</t>
  </si>
  <si>
    <t xml:space="preserve"> A.  Tariffs</t>
  </si>
  <si>
    <t xml:space="preserve">     Tariffs are taxes on imports.  While import tariffs can be imposed as excise taxes, or fixed charges per unit, or on a</t>
  </si>
  <si>
    <t>percentage basis as in a sales tax, the net effect of any tariff is to increase the price of an imported good above the world</t>
  </si>
  <si>
    <t>price.  We consider here the effect of a tariff as an addition to the prevailing world price.</t>
  </si>
  <si>
    <t>Tariff Rate:</t>
  </si>
  <si>
    <t>Boundary Tariff Rate:</t>
  </si>
  <si>
    <t>Tariff level that eliminates complete world trade</t>
  </si>
  <si>
    <t>Protection Rate:</t>
  </si>
  <si>
    <t xml:space="preserve"> (Percentage of Imports Reduced)</t>
  </si>
  <si>
    <t xml:space="preserve">Figure 3        </t>
  </si>
  <si>
    <t>Tariff Effect:</t>
  </si>
  <si>
    <t>Tariff Price</t>
  </si>
  <si>
    <t>Montclair State University</t>
  </si>
  <si>
    <t>Global Market Equilibrium</t>
  </si>
  <si>
    <t>Qd(a) =</t>
  </si>
  <si>
    <t>Pd(a)</t>
  </si>
  <si>
    <t>Qs(a) =</t>
  </si>
  <si>
    <t>Ps(a)</t>
  </si>
  <si>
    <t>School of Business</t>
  </si>
  <si>
    <t>Pd =</t>
  </si>
  <si>
    <t>Qd</t>
  </si>
  <si>
    <t>Qd(b) =</t>
  </si>
  <si>
    <t>Pd(b)</t>
  </si>
  <si>
    <t>Qs(b) =</t>
  </si>
  <si>
    <t>Ps(b)</t>
  </si>
  <si>
    <t>Department of Economics and Finance</t>
  </si>
  <si>
    <t>Dr. P. LeBel</t>
  </si>
  <si>
    <t>Ps =</t>
  </si>
  <si>
    <t>Qs</t>
  </si>
  <si>
    <t>Equilibrum Quantity</t>
  </si>
  <si>
    <t xml:space="preserve">       Gains and Losses from International Trade Protection</t>
  </si>
  <si>
    <t>Equilibrium Price</t>
  </si>
  <si>
    <t>Global TotalRevenue</t>
  </si>
  <si>
    <t>Qd =</t>
  </si>
  <si>
    <t>Pd</t>
  </si>
  <si>
    <t>Qs =</t>
  </si>
  <si>
    <t>Ps</t>
  </si>
  <si>
    <t xml:space="preserve">I.  </t>
  </si>
  <si>
    <t>Basic Conditions for International Trade</t>
  </si>
  <si>
    <t>Quantity</t>
  </si>
  <si>
    <t>Demand</t>
  </si>
  <si>
    <t xml:space="preserve"> Supply</t>
  </si>
  <si>
    <t>Fixed Price</t>
  </si>
  <si>
    <t>Balance</t>
  </si>
  <si>
    <t xml:space="preserve">     While the case for international trade stands traditionally on the principle of comparative advantage,</t>
  </si>
  <si>
    <t>and while one can compute the global losses from the absence of trade in comparison to an open</t>
  </si>
  <si>
    <t>economy, it also is important to measure who gains and who loses from the imposition of barriers to</t>
  </si>
  <si>
    <t>trade.  The simplest answer to the question of who gains and who loses is that some producers gain</t>
  </si>
  <si>
    <t>while a larger number of consumers lose once trade barriers are put into effect.</t>
  </si>
  <si>
    <t xml:space="preserve">     Restrictions on trade can occur in a number of ways.  One is through the imposition of tariffs, or</t>
  </si>
  <si>
    <t>duty taxation on imported goods.  Another is through the use of import quotas.  A third, and increasingly</t>
  </si>
  <si>
    <t>important barrier to trade is the use of nontariff barriers.  Non-tariff barriers consist of restrictions on</t>
  </si>
  <si>
    <t>the importation of goods due to the imposition of certain product standards.  The basis for product</t>
  </si>
  <si>
    <t>standards is that domestically produced goods presumably generate lower levels of environmental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</si>
</sst>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0.00"/>
    <numFmt numFmtId="165" formatCode="&quot;$&quot;#,###;\-&quot;$&quot;#,###"/>
    <numFmt numFmtId="166" formatCode="&quot;$&quot;#,##0.00_);\-&quot;$&quot;#,##0.00\)"/>
    <numFmt numFmtId="167" formatCode="&quot;$&quot;#,##0.00_);\-&quot;$&quot;#,##0.00"/>
    <numFmt numFmtId="168" formatCode="&quot;$&quot;#,##0.00;\-&quot;$&quot;#,##0.00"/>
  </numFmts>
  <fonts count="12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8"/>
      <name val="Phyllis"/>
      <family val="0"/>
    </font>
    <font>
      <sz val="12"/>
      <color indexed="12"/>
      <name val="Helv"/>
      <family val="0"/>
    </font>
    <font>
      <b/>
      <sz val="12"/>
      <color indexed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9"/>
      <color indexed="12"/>
      <name val="Helv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>
        <color indexed="63"/>
      </left>
      <right style="medium"/>
      <top style="medium">
        <color indexed="10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 style="medium"/>
      <right style="medium">
        <color indexed="10"/>
      </right>
      <top style="medium">
        <color indexed="10"/>
      </top>
      <bottom style="medium"/>
    </border>
    <border>
      <left style="medium">
        <color indexed="10"/>
      </left>
      <right>
        <color indexed="63"/>
      </right>
      <top style="medium"/>
      <bottom style="medium">
        <color indexed="10"/>
      </bottom>
    </border>
    <border>
      <left>
        <color indexed="63"/>
      </left>
      <right>
        <color indexed="63"/>
      </right>
      <top style="medium"/>
      <bottom style="medium">
        <color indexed="10"/>
      </bottom>
    </border>
    <border>
      <left>
        <color indexed="63"/>
      </left>
      <right style="medium"/>
      <top style="medium"/>
      <bottom style="medium">
        <color indexed="10"/>
      </bottom>
    </border>
    <border>
      <left style="medium"/>
      <right style="medium"/>
      <top style="medium">
        <color indexed="10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/>
      <bottom style="medium"/>
    </border>
    <border>
      <left>
        <color indexed="63"/>
      </left>
      <right style="medium">
        <color indexed="10"/>
      </right>
      <top style="medium"/>
      <bottom style="medium">
        <color indexed="10"/>
      </bottom>
    </border>
    <border>
      <left style="medium"/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10"/>
      </right>
      <top style="medium"/>
      <bottom>
        <color indexed="63"/>
      </bottom>
    </border>
    <border>
      <left>
        <color indexed="63"/>
      </left>
      <right style="medium">
        <color indexed="10"/>
      </right>
      <top style="medium">
        <color indexed="8"/>
      </top>
      <bottom style="medium">
        <color indexed="8"/>
      </bottom>
    </border>
    <border>
      <left style="medium"/>
      <right style="medium">
        <color indexed="10"/>
      </right>
      <top style="medium"/>
      <bottom style="medium"/>
    </border>
    <border>
      <left style="medium"/>
      <right style="medium">
        <color indexed="10"/>
      </right>
      <top style="medium"/>
      <bottom style="medium">
        <color indexed="10"/>
      </bottom>
    </border>
    <border>
      <left>
        <color indexed="63"/>
      </left>
      <right style="medium">
        <color indexed="8"/>
      </right>
      <top style="medium">
        <color indexed="10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right"/>
    </xf>
    <xf numFmtId="2" fontId="5" fillId="0" borderId="4" xfId="0" applyNumberFormat="1" applyFont="1" applyBorder="1" applyAlignment="1">
      <alignment/>
    </xf>
    <xf numFmtId="0" fontId="5" fillId="0" borderId="6" xfId="0" applyFont="1" applyBorder="1" applyAlignment="1">
      <alignment/>
    </xf>
    <xf numFmtId="164" fontId="5" fillId="0" borderId="4" xfId="0" applyNumberFormat="1" applyFont="1" applyBorder="1" applyAlignment="1">
      <alignment/>
    </xf>
    <xf numFmtId="2" fontId="9" fillId="0" borderId="7" xfId="0" applyNumberFormat="1" applyFont="1" applyBorder="1" applyAlignment="1">
      <alignment/>
    </xf>
    <xf numFmtId="8" fontId="9" fillId="0" borderId="7" xfId="0" applyNumberFormat="1" applyFont="1" applyBorder="1" applyAlignment="1">
      <alignment/>
    </xf>
    <xf numFmtId="8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8" fontId="10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5" fillId="0" borderId="8" xfId="0" applyFont="1" applyBorder="1" applyAlignment="1">
      <alignment/>
    </xf>
    <xf numFmtId="0" fontId="10" fillId="0" borderId="0" xfId="0" applyFont="1" applyAlignment="1">
      <alignment/>
    </xf>
    <xf numFmtId="165" fontId="4" fillId="0" borderId="0" xfId="0" applyNumberFormat="1" applyFont="1" applyAlignment="1">
      <alignment/>
    </xf>
    <xf numFmtId="2" fontId="10" fillId="0" borderId="9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8" fontId="10" fillId="0" borderId="9" xfId="0" applyNumberFormat="1" applyFont="1" applyBorder="1" applyAlignment="1">
      <alignment/>
    </xf>
    <xf numFmtId="8" fontId="10" fillId="0" borderId="10" xfId="0" applyNumberFormat="1" applyFont="1" applyBorder="1" applyAlignment="1">
      <alignment/>
    </xf>
    <xf numFmtId="8" fontId="10" fillId="0" borderId="11" xfId="0" applyNumberFormat="1" applyFont="1" applyBorder="1" applyAlignment="1">
      <alignment/>
    </xf>
    <xf numFmtId="0" fontId="9" fillId="0" borderId="6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9" fillId="0" borderId="13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2" fontId="9" fillId="0" borderId="15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4" fillId="0" borderId="20" xfId="0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2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 horizontal="right"/>
    </xf>
    <xf numFmtId="2" fontId="1" fillId="0" borderId="27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7" xfId="0" applyFont="1" applyBorder="1" applyAlignment="1">
      <alignment horizontal="right"/>
    </xf>
    <xf numFmtId="2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4" fillId="0" borderId="29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31" xfId="0" applyBorder="1" applyAlignment="1">
      <alignment/>
    </xf>
    <xf numFmtId="2" fontId="9" fillId="0" borderId="32" xfId="0" applyNumberFormat="1" applyFont="1" applyBorder="1" applyAlignment="1">
      <alignment/>
    </xf>
    <xf numFmtId="2" fontId="9" fillId="0" borderId="33" xfId="0" applyNumberFormat="1" applyFont="1" applyBorder="1" applyAlignment="1">
      <alignment/>
    </xf>
    <xf numFmtId="2" fontId="9" fillId="0" borderId="34" xfId="0" applyNumberFormat="1" applyFont="1" applyBorder="1" applyAlignment="1">
      <alignment/>
    </xf>
    <xf numFmtId="0" fontId="9" fillId="0" borderId="8" xfId="0" applyFont="1" applyBorder="1" applyAlignment="1">
      <alignment horizontal="right"/>
    </xf>
    <xf numFmtId="2" fontId="9" fillId="0" borderId="4" xfId="0" applyNumberFormat="1" applyFont="1" applyBorder="1" applyAlignment="1">
      <alignment/>
    </xf>
    <xf numFmtId="0" fontId="9" fillId="0" borderId="16" xfId="0" applyFont="1" applyBorder="1" applyAlignment="1">
      <alignment horizontal="right"/>
    </xf>
    <xf numFmtId="2" fontId="9" fillId="0" borderId="17" xfId="0" applyNumberFormat="1" applyFont="1" applyBorder="1" applyAlignment="1">
      <alignment/>
    </xf>
    <xf numFmtId="164" fontId="9" fillId="0" borderId="17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2" fontId="9" fillId="0" borderId="37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8" fontId="10" fillId="0" borderId="27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8" fontId="9" fillId="0" borderId="35" xfId="0" applyNumberFormat="1" applyFont="1" applyBorder="1" applyAlignment="1">
      <alignment/>
    </xf>
    <xf numFmtId="0" fontId="0" fillId="0" borderId="40" xfId="0" applyBorder="1" applyAlignment="1">
      <alignment/>
    </xf>
    <xf numFmtId="0" fontId="4" fillId="0" borderId="17" xfId="0" applyFont="1" applyBorder="1" applyAlignment="1">
      <alignment horizontal="right"/>
    </xf>
    <xf numFmtId="8" fontId="9" fillId="0" borderId="36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0" fillId="0" borderId="29" xfId="0" applyBorder="1" applyAlignment="1">
      <alignment/>
    </xf>
    <xf numFmtId="0" fontId="4" fillId="0" borderId="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0" xfId="0" applyFont="1" applyBorder="1" applyAlignment="1">
      <alignment horizontal="right"/>
    </xf>
    <xf numFmtId="8" fontId="9" fillId="0" borderId="41" xfId="0" applyNumberFormat="1" applyFont="1" applyBorder="1" applyAlignment="1">
      <alignment/>
    </xf>
    <xf numFmtId="0" fontId="8" fillId="0" borderId="29" xfId="0" applyFont="1" applyBorder="1" applyAlignment="1">
      <alignment horizontal="center"/>
    </xf>
    <xf numFmtId="10" fontId="4" fillId="0" borderId="36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68" fontId="9" fillId="0" borderId="32" xfId="0" applyNumberFormat="1" applyFont="1" applyBorder="1" applyAlignment="1">
      <alignment/>
    </xf>
    <xf numFmtId="168" fontId="10" fillId="0" borderId="32" xfId="0" applyNumberFormat="1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0" xfId="0" applyFont="1" applyBorder="1" applyAlignment="1">
      <alignment horizontal="right"/>
    </xf>
    <xf numFmtId="10" fontId="9" fillId="0" borderId="41" xfId="0" applyNumberFormat="1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right"/>
    </xf>
    <xf numFmtId="168" fontId="9" fillId="0" borderId="35" xfId="0" applyNumberFormat="1" applyFont="1" applyBorder="1" applyAlignment="1">
      <alignment/>
    </xf>
    <xf numFmtId="0" fontId="8" fillId="0" borderId="43" xfId="0" applyFont="1" applyBorder="1" applyAlignment="1">
      <alignment horizontal="center"/>
    </xf>
    <xf numFmtId="8" fontId="9" fillId="0" borderId="32" xfId="0" applyNumberFormat="1" applyFont="1" applyBorder="1" applyAlignment="1">
      <alignment/>
    </xf>
    <xf numFmtId="0" fontId="1" fillId="0" borderId="31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 horizontal="right"/>
    </xf>
    <xf numFmtId="168" fontId="9" fillId="0" borderId="46" xfId="0" applyNumberFormat="1" applyFont="1" applyBorder="1" applyAlignment="1">
      <alignment/>
    </xf>
    <xf numFmtId="8" fontId="9" fillId="0" borderId="46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8" fontId="9" fillId="0" borderId="47" xfId="0" applyNumberFormat="1" applyFont="1" applyBorder="1" applyAlignment="1">
      <alignment/>
    </xf>
    <xf numFmtId="0" fontId="1" fillId="0" borderId="40" xfId="0" applyFont="1" applyBorder="1" applyAlignment="1">
      <alignment horizontal="right"/>
    </xf>
    <xf numFmtId="168" fontId="9" fillId="0" borderId="4" xfId="0" applyNumberFormat="1" applyFont="1" applyBorder="1" applyAlignment="1">
      <alignment/>
    </xf>
    <xf numFmtId="10" fontId="9" fillId="0" borderId="36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168" fontId="9" fillId="0" borderId="48" xfId="0" applyNumberFormat="1" applyFont="1" applyBorder="1" applyAlignment="1">
      <alignment/>
    </xf>
    <xf numFmtId="168" fontId="9" fillId="0" borderId="49" xfId="0" applyNumberFormat="1" applyFont="1" applyBorder="1" applyAlignment="1">
      <alignment/>
    </xf>
    <xf numFmtId="0" fontId="0" fillId="0" borderId="1" xfId="0" applyBorder="1" applyAlignment="1">
      <alignment/>
    </xf>
    <xf numFmtId="0" fontId="9" fillId="0" borderId="50" xfId="0" applyFont="1" applyBorder="1" applyAlignment="1">
      <alignment/>
    </xf>
    <xf numFmtId="168" fontId="10" fillId="0" borderId="9" xfId="0" applyNumberFormat="1" applyFont="1" applyBorder="1" applyAlignment="1">
      <alignment/>
    </xf>
    <xf numFmtId="168" fontId="10" fillId="0" borderId="10" xfId="0" applyNumberFormat="1" applyFont="1" applyBorder="1" applyAlignment="1">
      <alignment/>
    </xf>
    <xf numFmtId="168" fontId="10" fillId="0" borderId="11" xfId="0" applyNumberFormat="1" applyFont="1" applyBorder="1" applyAlignment="1">
      <alignment/>
    </xf>
    <xf numFmtId="0" fontId="9" fillId="0" borderId="2" xfId="0" applyFont="1" applyBorder="1" applyAlignment="1">
      <alignment horizontal="right"/>
    </xf>
    <xf numFmtId="0" fontId="1" fillId="0" borderId="51" xfId="0" applyFont="1" applyBorder="1" applyAlignment="1">
      <alignment horizontal="center"/>
    </xf>
    <xf numFmtId="10" fontId="9" fillId="0" borderId="3" xfId="0" applyNumberFormat="1" applyFont="1" applyBorder="1" applyAlignment="1">
      <alignment/>
    </xf>
    <xf numFmtId="0" fontId="0" fillId="0" borderId="52" xfId="0" applyBorder="1" applyAlignment="1">
      <alignment/>
    </xf>
    <xf numFmtId="0" fontId="9" fillId="0" borderId="53" xfId="0" applyFont="1" applyBorder="1" applyAlignment="1">
      <alignment horizontal="right"/>
    </xf>
    <xf numFmtId="10" fontId="9" fillId="0" borderId="4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Global Market Equilibrium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65"/>
          <c:y val="0.09525"/>
          <c:w val="0.977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Sheet1!$P$7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Sheet1!$O$8:$O$61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cat>
          <c:val>
            <c:numRef>
              <c:f>Sheet1!$P$8:$P$61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Sheet1!$Q$7</c:f>
              <c:strCache>
                <c:ptCount val="1"/>
                <c:pt idx="0">
                  <c:v> Supply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Sheet1!$O$8:$O$61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cat>
          <c:val>
            <c:numRef>
              <c:f>Sheet1!$Q$8:$Q$61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Sheet1!$R$7</c:f>
              <c:strCache>
                <c:ptCount val="1"/>
                <c:pt idx="0">
                  <c:v>Fixed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0713A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Sheet1!$O$8:$O$61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cat>
          <c:val>
            <c:numRef>
              <c:f>Sheet1!$R$8:$R$61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marker val="1"/>
        <c:axId val="63743235"/>
        <c:axId val="36818204"/>
      </c:lineChart>
      <c:catAx>
        <c:axId val="63743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818204"/>
        <c:crosses val="autoZero"/>
        <c:auto val="0"/>
        <c:lblOffset val="100"/>
        <c:noMultiLvlLbl val="0"/>
      </c:catAx>
      <c:valAx>
        <c:axId val="36818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63743235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6"/>
          <c:y val="0.95425"/>
          <c:w val="0.437"/>
          <c:h val="0.0377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Country A Global Trade Position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325"/>
          <c:y val="0.12625"/>
          <c:w val="0.95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Sheet1!$C$38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Sheet1!$B$39:$B$64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Sheet1!$C$39:$C$64</c:f>
              <c:numCache>
                <c:ptCount val="26"/>
                <c:pt idx="0">
                  <c:v>200</c:v>
                </c:pt>
                <c:pt idx="1">
                  <c:v>192</c:v>
                </c:pt>
                <c:pt idx="2">
                  <c:v>184</c:v>
                </c:pt>
                <c:pt idx="3">
                  <c:v>176</c:v>
                </c:pt>
                <c:pt idx="4">
                  <c:v>168</c:v>
                </c:pt>
                <c:pt idx="5">
                  <c:v>160</c:v>
                </c:pt>
                <c:pt idx="6">
                  <c:v>152</c:v>
                </c:pt>
                <c:pt idx="7">
                  <c:v>144</c:v>
                </c:pt>
                <c:pt idx="8">
                  <c:v>136</c:v>
                </c:pt>
                <c:pt idx="9">
                  <c:v>128</c:v>
                </c:pt>
                <c:pt idx="10">
                  <c:v>120</c:v>
                </c:pt>
                <c:pt idx="11">
                  <c:v>112</c:v>
                </c:pt>
                <c:pt idx="12">
                  <c:v>104</c:v>
                </c:pt>
                <c:pt idx="13">
                  <c:v>96</c:v>
                </c:pt>
                <c:pt idx="14">
                  <c:v>88</c:v>
                </c:pt>
                <c:pt idx="15">
                  <c:v>80</c:v>
                </c:pt>
                <c:pt idx="16">
                  <c:v>72</c:v>
                </c:pt>
                <c:pt idx="17">
                  <c:v>64</c:v>
                </c:pt>
                <c:pt idx="18">
                  <c:v>56</c:v>
                </c:pt>
                <c:pt idx="19">
                  <c:v>48</c:v>
                </c:pt>
                <c:pt idx="20">
                  <c:v>40</c:v>
                </c:pt>
                <c:pt idx="21">
                  <c:v>32</c:v>
                </c:pt>
                <c:pt idx="22">
                  <c:v>24</c:v>
                </c:pt>
                <c:pt idx="23">
                  <c:v>16</c:v>
                </c:pt>
                <c:pt idx="24">
                  <c:v>8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Sheet1!$D$38</c:f>
              <c:strCache>
                <c:ptCount val="1"/>
                <c:pt idx="0">
                  <c:v>Supply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Sheet1!$B$39:$B$64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Sheet1!$D$39:$D$64</c:f>
              <c:numCache>
                <c:ptCount val="26"/>
                <c:pt idx="0">
                  <c:v>20</c:v>
                </c:pt>
                <c:pt idx="1">
                  <c:v>24</c:v>
                </c:pt>
                <c:pt idx="2">
                  <c:v>28</c:v>
                </c:pt>
                <c:pt idx="3">
                  <c:v>32</c:v>
                </c:pt>
                <c:pt idx="4">
                  <c:v>36</c:v>
                </c:pt>
                <c:pt idx="5">
                  <c:v>40</c:v>
                </c:pt>
                <c:pt idx="6">
                  <c:v>44</c:v>
                </c:pt>
                <c:pt idx="7">
                  <c:v>48</c:v>
                </c:pt>
                <c:pt idx="8">
                  <c:v>52</c:v>
                </c:pt>
                <c:pt idx="9">
                  <c:v>56</c:v>
                </c:pt>
                <c:pt idx="10">
                  <c:v>60</c:v>
                </c:pt>
                <c:pt idx="11">
                  <c:v>64</c:v>
                </c:pt>
                <c:pt idx="12">
                  <c:v>68</c:v>
                </c:pt>
                <c:pt idx="13">
                  <c:v>72</c:v>
                </c:pt>
                <c:pt idx="14">
                  <c:v>76</c:v>
                </c:pt>
                <c:pt idx="15">
                  <c:v>80</c:v>
                </c:pt>
                <c:pt idx="16">
                  <c:v>84</c:v>
                </c:pt>
                <c:pt idx="17">
                  <c:v>88</c:v>
                </c:pt>
                <c:pt idx="18">
                  <c:v>92</c:v>
                </c:pt>
                <c:pt idx="19">
                  <c:v>96</c:v>
                </c:pt>
                <c:pt idx="20">
                  <c:v>100</c:v>
                </c:pt>
                <c:pt idx="21">
                  <c:v>104</c:v>
                </c:pt>
                <c:pt idx="22">
                  <c:v>108</c:v>
                </c:pt>
                <c:pt idx="23">
                  <c:v>112</c:v>
                </c:pt>
                <c:pt idx="24">
                  <c:v>116</c:v>
                </c:pt>
                <c:pt idx="25">
                  <c:v>120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Sheet1!$E$38</c:f>
              <c:strCache>
                <c:ptCount val="1"/>
                <c:pt idx="0">
                  <c:v>Local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Sheet1!$B$39:$B$64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Sheet1!$E$39:$E$64</c:f>
              <c:numCache>
                <c:ptCount val="2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Sheet1!$F$38</c:f>
              <c:strCache>
                <c:ptCount val="1"/>
                <c:pt idx="0">
                  <c:v>World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Sheet1!$B$39:$B$64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Sheet1!$F$39:$F$64</c:f>
              <c:numCache>
                <c:ptCount val="26"/>
                <c:pt idx="0">
                  <c:v>112.00000000000003</c:v>
                </c:pt>
                <c:pt idx="1">
                  <c:v>112.00000000000003</c:v>
                </c:pt>
                <c:pt idx="2">
                  <c:v>112.00000000000003</c:v>
                </c:pt>
                <c:pt idx="3">
                  <c:v>112.00000000000003</c:v>
                </c:pt>
                <c:pt idx="4">
                  <c:v>112.00000000000003</c:v>
                </c:pt>
                <c:pt idx="5">
                  <c:v>112.00000000000003</c:v>
                </c:pt>
                <c:pt idx="6">
                  <c:v>112.00000000000003</c:v>
                </c:pt>
                <c:pt idx="7">
                  <c:v>112.00000000000003</c:v>
                </c:pt>
                <c:pt idx="8">
                  <c:v>112.00000000000003</c:v>
                </c:pt>
                <c:pt idx="9">
                  <c:v>112.00000000000003</c:v>
                </c:pt>
                <c:pt idx="10">
                  <c:v>112.00000000000003</c:v>
                </c:pt>
                <c:pt idx="11">
                  <c:v>112.00000000000003</c:v>
                </c:pt>
                <c:pt idx="12">
                  <c:v>112.00000000000003</c:v>
                </c:pt>
                <c:pt idx="13">
                  <c:v>112.00000000000003</c:v>
                </c:pt>
                <c:pt idx="14">
                  <c:v>112.00000000000003</c:v>
                </c:pt>
                <c:pt idx="15">
                  <c:v>112.00000000000003</c:v>
                </c:pt>
                <c:pt idx="16">
                  <c:v>112.00000000000003</c:v>
                </c:pt>
                <c:pt idx="17">
                  <c:v>112.00000000000003</c:v>
                </c:pt>
                <c:pt idx="18">
                  <c:v>112.00000000000003</c:v>
                </c:pt>
                <c:pt idx="19">
                  <c:v>112.00000000000003</c:v>
                </c:pt>
                <c:pt idx="20">
                  <c:v>112.00000000000003</c:v>
                </c:pt>
                <c:pt idx="21">
                  <c:v>112.00000000000003</c:v>
                </c:pt>
                <c:pt idx="22">
                  <c:v>112.00000000000003</c:v>
                </c:pt>
                <c:pt idx="23">
                  <c:v>112.00000000000003</c:v>
                </c:pt>
                <c:pt idx="24">
                  <c:v>112.00000000000003</c:v>
                </c:pt>
                <c:pt idx="25">
                  <c:v>112.00000000000003</c:v>
                </c:pt>
              </c:numCache>
            </c:numRef>
          </c:val>
          <c:smooth val="0"/>
        </c:ser>
        <c:marker val="1"/>
        <c:axId val="62928381"/>
        <c:axId val="29484518"/>
      </c:lineChart>
      <c:catAx>
        <c:axId val="62928381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29484518"/>
        <c:crosses val="autoZero"/>
        <c:auto val="0"/>
        <c:lblOffset val="100"/>
        <c:noMultiLvlLbl val="0"/>
      </c:catAx>
      <c:valAx>
        <c:axId val="29484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#;\-&quot;$&quot;#,##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62928381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5125"/>
          <c:w val="0.8945"/>
          <c:h val="0.046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Country B Global Trade Position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25"/>
          <c:y val="0.12525"/>
          <c:w val="0.95775"/>
          <c:h val="0.7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Sheet1!$H$38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Sheet1!$G$39:$G$64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Sheet1!$H$39:$H$64</c:f>
              <c:numCache>
                <c:ptCount val="26"/>
                <c:pt idx="0">
                  <c:v>400</c:v>
                </c:pt>
                <c:pt idx="1">
                  <c:v>388</c:v>
                </c:pt>
                <c:pt idx="2">
                  <c:v>376</c:v>
                </c:pt>
                <c:pt idx="3">
                  <c:v>364</c:v>
                </c:pt>
                <c:pt idx="4">
                  <c:v>352</c:v>
                </c:pt>
                <c:pt idx="5">
                  <c:v>340</c:v>
                </c:pt>
                <c:pt idx="6">
                  <c:v>328</c:v>
                </c:pt>
                <c:pt idx="7">
                  <c:v>316</c:v>
                </c:pt>
                <c:pt idx="8">
                  <c:v>304</c:v>
                </c:pt>
                <c:pt idx="9">
                  <c:v>292</c:v>
                </c:pt>
                <c:pt idx="10">
                  <c:v>280</c:v>
                </c:pt>
                <c:pt idx="11">
                  <c:v>268</c:v>
                </c:pt>
                <c:pt idx="12">
                  <c:v>256</c:v>
                </c:pt>
                <c:pt idx="13">
                  <c:v>244</c:v>
                </c:pt>
                <c:pt idx="14">
                  <c:v>232</c:v>
                </c:pt>
                <c:pt idx="15">
                  <c:v>220</c:v>
                </c:pt>
                <c:pt idx="16">
                  <c:v>208</c:v>
                </c:pt>
                <c:pt idx="17">
                  <c:v>196</c:v>
                </c:pt>
                <c:pt idx="18">
                  <c:v>184</c:v>
                </c:pt>
                <c:pt idx="19">
                  <c:v>172</c:v>
                </c:pt>
                <c:pt idx="20">
                  <c:v>160</c:v>
                </c:pt>
                <c:pt idx="21">
                  <c:v>148</c:v>
                </c:pt>
                <c:pt idx="22">
                  <c:v>136</c:v>
                </c:pt>
                <c:pt idx="23">
                  <c:v>124</c:v>
                </c:pt>
                <c:pt idx="24">
                  <c:v>112</c:v>
                </c:pt>
                <c:pt idx="25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Sheet1!$I$38</c:f>
              <c:strCache>
                <c:ptCount val="1"/>
                <c:pt idx="0">
                  <c:v>Supply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Sheet1!$G$39:$G$64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Sheet1!$I$39:$I$64</c:f>
              <c:numCache>
                <c:ptCount val="26"/>
                <c:pt idx="0">
                  <c:v>40</c:v>
                </c:pt>
                <c:pt idx="1">
                  <c:v>46</c:v>
                </c:pt>
                <c:pt idx="2">
                  <c:v>52</c:v>
                </c:pt>
                <c:pt idx="3">
                  <c:v>58</c:v>
                </c:pt>
                <c:pt idx="4">
                  <c:v>64</c:v>
                </c:pt>
                <c:pt idx="5">
                  <c:v>70</c:v>
                </c:pt>
                <c:pt idx="6">
                  <c:v>76</c:v>
                </c:pt>
                <c:pt idx="7">
                  <c:v>82</c:v>
                </c:pt>
                <c:pt idx="8">
                  <c:v>88</c:v>
                </c:pt>
                <c:pt idx="9">
                  <c:v>94</c:v>
                </c:pt>
                <c:pt idx="10">
                  <c:v>100</c:v>
                </c:pt>
                <c:pt idx="11">
                  <c:v>106</c:v>
                </c:pt>
                <c:pt idx="12">
                  <c:v>112</c:v>
                </c:pt>
                <c:pt idx="13">
                  <c:v>118</c:v>
                </c:pt>
                <c:pt idx="14">
                  <c:v>124</c:v>
                </c:pt>
                <c:pt idx="15">
                  <c:v>130</c:v>
                </c:pt>
                <c:pt idx="16">
                  <c:v>136</c:v>
                </c:pt>
                <c:pt idx="17">
                  <c:v>142</c:v>
                </c:pt>
                <c:pt idx="18">
                  <c:v>148</c:v>
                </c:pt>
                <c:pt idx="19">
                  <c:v>154</c:v>
                </c:pt>
                <c:pt idx="20">
                  <c:v>160</c:v>
                </c:pt>
                <c:pt idx="21">
                  <c:v>166</c:v>
                </c:pt>
                <c:pt idx="22">
                  <c:v>172</c:v>
                </c:pt>
                <c:pt idx="23">
                  <c:v>178</c:v>
                </c:pt>
                <c:pt idx="24">
                  <c:v>184</c:v>
                </c:pt>
                <c:pt idx="25">
                  <c:v>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Sheet1!$J$38</c:f>
              <c:strCache>
                <c:ptCount val="1"/>
                <c:pt idx="0">
                  <c:v>Local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Sheet1!$G$39:$G$64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Sheet1!$J$39:$J$64</c:f>
              <c:numCache>
                <c:ptCount val="26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160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  <c:pt idx="24">
                  <c:v>160</c:v>
                </c:pt>
                <c:pt idx="25">
                  <c:v>160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Sheet1!$K$38</c:f>
              <c:strCache>
                <c:ptCount val="1"/>
                <c:pt idx="0">
                  <c:v>World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Sheet1!$G$39:$G$64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Sheet1!$K$39:$K$64</c:f>
              <c:numCache>
                <c:ptCount val="26"/>
                <c:pt idx="0">
                  <c:v>112.00000000000003</c:v>
                </c:pt>
                <c:pt idx="1">
                  <c:v>112.00000000000003</c:v>
                </c:pt>
                <c:pt idx="2">
                  <c:v>112.00000000000003</c:v>
                </c:pt>
                <c:pt idx="3">
                  <c:v>112.00000000000003</c:v>
                </c:pt>
                <c:pt idx="4">
                  <c:v>112.00000000000003</c:v>
                </c:pt>
                <c:pt idx="5">
                  <c:v>112.00000000000003</c:v>
                </c:pt>
                <c:pt idx="6">
                  <c:v>112.00000000000003</c:v>
                </c:pt>
                <c:pt idx="7">
                  <c:v>112.00000000000003</c:v>
                </c:pt>
                <c:pt idx="8">
                  <c:v>112.00000000000003</c:v>
                </c:pt>
                <c:pt idx="9">
                  <c:v>112.00000000000003</c:v>
                </c:pt>
                <c:pt idx="10">
                  <c:v>112.00000000000003</c:v>
                </c:pt>
                <c:pt idx="11">
                  <c:v>112.00000000000003</c:v>
                </c:pt>
                <c:pt idx="12">
                  <c:v>112.00000000000003</c:v>
                </c:pt>
                <c:pt idx="13">
                  <c:v>112.00000000000003</c:v>
                </c:pt>
                <c:pt idx="14">
                  <c:v>112.00000000000003</c:v>
                </c:pt>
                <c:pt idx="15">
                  <c:v>112.00000000000003</c:v>
                </c:pt>
                <c:pt idx="16">
                  <c:v>112.00000000000003</c:v>
                </c:pt>
                <c:pt idx="17">
                  <c:v>112.00000000000003</c:v>
                </c:pt>
                <c:pt idx="18">
                  <c:v>112.00000000000003</c:v>
                </c:pt>
                <c:pt idx="19">
                  <c:v>112.00000000000003</c:v>
                </c:pt>
                <c:pt idx="20">
                  <c:v>112.00000000000003</c:v>
                </c:pt>
                <c:pt idx="21">
                  <c:v>112.00000000000003</c:v>
                </c:pt>
                <c:pt idx="22">
                  <c:v>112.00000000000003</c:v>
                </c:pt>
                <c:pt idx="23">
                  <c:v>112.00000000000003</c:v>
                </c:pt>
                <c:pt idx="24">
                  <c:v>112.00000000000003</c:v>
                </c:pt>
                <c:pt idx="25">
                  <c:v>112.00000000000003</c:v>
                </c:pt>
              </c:numCache>
            </c:numRef>
          </c:val>
          <c:smooth val="0"/>
        </c:ser>
        <c:marker val="1"/>
        <c:axId val="64034071"/>
        <c:axId val="39435728"/>
      </c:lineChart>
      <c:catAx>
        <c:axId val="64034071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39435728"/>
        <c:crosses val="autoZero"/>
        <c:auto val="0"/>
        <c:lblOffset val="100"/>
        <c:noMultiLvlLbl val="0"/>
      </c:catAx>
      <c:valAx>
        <c:axId val="39435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#;\-&quot;$&quot;#,###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64034071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94875"/>
          <c:w val="0.811"/>
          <c:h val="0.040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Country Trade with Tariff Protection</a:t>
            </a:r>
          </a:p>
        </c:rich>
      </c:tx>
      <c:layout>
        <c:manualLayout>
          <c:xMode val="factor"/>
          <c:yMode val="factor"/>
          <c:x val="-0.011"/>
          <c:y val="-0.01075"/>
        </c:manualLayout>
      </c:layout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925"/>
          <c:y val="0.0855"/>
          <c:w val="0.948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Sheet1!$C$146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Sheet1!$B$147:$B$172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Sheet1!$C$147:$C$172</c:f>
              <c:numCache>
                <c:ptCount val="26"/>
                <c:pt idx="0">
                  <c:v>400</c:v>
                </c:pt>
                <c:pt idx="1">
                  <c:v>388</c:v>
                </c:pt>
                <c:pt idx="2">
                  <c:v>376</c:v>
                </c:pt>
                <c:pt idx="3">
                  <c:v>364</c:v>
                </c:pt>
                <c:pt idx="4">
                  <c:v>352</c:v>
                </c:pt>
                <c:pt idx="5">
                  <c:v>340</c:v>
                </c:pt>
                <c:pt idx="6">
                  <c:v>328</c:v>
                </c:pt>
                <c:pt idx="7">
                  <c:v>316</c:v>
                </c:pt>
                <c:pt idx="8">
                  <c:v>304</c:v>
                </c:pt>
                <c:pt idx="9">
                  <c:v>292</c:v>
                </c:pt>
                <c:pt idx="10">
                  <c:v>280</c:v>
                </c:pt>
                <c:pt idx="11">
                  <c:v>268</c:v>
                </c:pt>
                <c:pt idx="12">
                  <c:v>256</c:v>
                </c:pt>
                <c:pt idx="13">
                  <c:v>244</c:v>
                </c:pt>
                <c:pt idx="14">
                  <c:v>232</c:v>
                </c:pt>
                <c:pt idx="15">
                  <c:v>220</c:v>
                </c:pt>
                <c:pt idx="16">
                  <c:v>208</c:v>
                </c:pt>
                <c:pt idx="17">
                  <c:v>196</c:v>
                </c:pt>
                <c:pt idx="18">
                  <c:v>184</c:v>
                </c:pt>
                <c:pt idx="19">
                  <c:v>172</c:v>
                </c:pt>
                <c:pt idx="20">
                  <c:v>160</c:v>
                </c:pt>
                <c:pt idx="21">
                  <c:v>148</c:v>
                </c:pt>
                <c:pt idx="22">
                  <c:v>136</c:v>
                </c:pt>
                <c:pt idx="23">
                  <c:v>124</c:v>
                </c:pt>
                <c:pt idx="24">
                  <c:v>112</c:v>
                </c:pt>
                <c:pt idx="25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Sheet1!$D$146</c:f>
              <c:strCache>
                <c:ptCount val="1"/>
                <c:pt idx="0">
                  <c:v>Supply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Sheet1!$B$147:$B$172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Sheet1!$D$147:$D$172</c:f>
              <c:numCache>
                <c:ptCount val="26"/>
                <c:pt idx="0">
                  <c:v>40</c:v>
                </c:pt>
                <c:pt idx="1">
                  <c:v>46</c:v>
                </c:pt>
                <c:pt idx="2">
                  <c:v>52</c:v>
                </c:pt>
                <c:pt idx="3">
                  <c:v>58</c:v>
                </c:pt>
                <c:pt idx="4">
                  <c:v>64</c:v>
                </c:pt>
                <c:pt idx="5">
                  <c:v>70</c:v>
                </c:pt>
                <c:pt idx="6">
                  <c:v>76</c:v>
                </c:pt>
                <c:pt idx="7">
                  <c:v>82</c:v>
                </c:pt>
                <c:pt idx="8">
                  <c:v>88</c:v>
                </c:pt>
                <c:pt idx="9">
                  <c:v>94</c:v>
                </c:pt>
                <c:pt idx="10">
                  <c:v>100</c:v>
                </c:pt>
                <c:pt idx="11">
                  <c:v>106</c:v>
                </c:pt>
                <c:pt idx="12">
                  <c:v>112</c:v>
                </c:pt>
                <c:pt idx="13">
                  <c:v>118</c:v>
                </c:pt>
                <c:pt idx="14">
                  <c:v>124</c:v>
                </c:pt>
                <c:pt idx="15">
                  <c:v>130</c:v>
                </c:pt>
                <c:pt idx="16">
                  <c:v>136</c:v>
                </c:pt>
                <c:pt idx="17">
                  <c:v>142</c:v>
                </c:pt>
                <c:pt idx="18">
                  <c:v>148</c:v>
                </c:pt>
                <c:pt idx="19">
                  <c:v>154</c:v>
                </c:pt>
                <c:pt idx="20">
                  <c:v>160</c:v>
                </c:pt>
                <c:pt idx="21">
                  <c:v>166</c:v>
                </c:pt>
                <c:pt idx="22">
                  <c:v>172</c:v>
                </c:pt>
                <c:pt idx="23">
                  <c:v>178</c:v>
                </c:pt>
                <c:pt idx="24">
                  <c:v>184</c:v>
                </c:pt>
                <c:pt idx="25">
                  <c:v>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Sheet1!$E$146</c:f>
              <c:strCache>
                <c:ptCount val="1"/>
                <c:pt idx="0">
                  <c:v>Local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Sheet1!$B$147:$B$172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Sheet1!$E$147:$E$172</c:f>
              <c:numCache>
                <c:ptCount val="26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160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  <c:pt idx="24">
                  <c:v>160</c:v>
                </c:pt>
                <c:pt idx="25">
                  <c:v>160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Sheet1!$F$146</c:f>
              <c:strCache>
                <c:ptCount val="1"/>
                <c:pt idx="0">
                  <c:v>World Price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Sheet1!$B$147:$B$172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Sheet1!$F$147:$F$172</c:f>
              <c:numCache>
                <c:ptCount val="26"/>
                <c:pt idx="0">
                  <c:v>112.00000000000003</c:v>
                </c:pt>
                <c:pt idx="1">
                  <c:v>112.00000000000003</c:v>
                </c:pt>
                <c:pt idx="2">
                  <c:v>112.00000000000003</c:v>
                </c:pt>
                <c:pt idx="3">
                  <c:v>112.00000000000003</c:v>
                </c:pt>
                <c:pt idx="4">
                  <c:v>112.00000000000003</c:v>
                </c:pt>
                <c:pt idx="5">
                  <c:v>112.00000000000003</c:v>
                </c:pt>
                <c:pt idx="6">
                  <c:v>112.00000000000003</c:v>
                </c:pt>
                <c:pt idx="7">
                  <c:v>112.00000000000003</c:v>
                </c:pt>
                <c:pt idx="8">
                  <c:v>112.00000000000003</c:v>
                </c:pt>
                <c:pt idx="9">
                  <c:v>112.00000000000003</c:v>
                </c:pt>
                <c:pt idx="10">
                  <c:v>112.00000000000003</c:v>
                </c:pt>
                <c:pt idx="11">
                  <c:v>112.00000000000003</c:v>
                </c:pt>
                <c:pt idx="12">
                  <c:v>112.00000000000003</c:v>
                </c:pt>
                <c:pt idx="13">
                  <c:v>112.00000000000003</c:v>
                </c:pt>
                <c:pt idx="14">
                  <c:v>112.00000000000003</c:v>
                </c:pt>
                <c:pt idx="15">
                  <c:v>112.00000000000003</c:v>
                </c:pt>
                <c:pt idx="16">
                  <c:v>112.00000000000003</c:v>
                </c:pt>
                <c:pt idx="17">
                  <c:v>112.00000000000003</c:v>
                </c:pt>
                <c:pt idx="18">
                  <c:v>112.00000000000003</c:v>
                </c:pt>
                <c:pt idx="19">
                  <c:v>112.00000000000003</c:v>
                </c:pt>
                <c:pt idx="20">
                  <c:v>112.00000000000003</c:v>
                </c:pt>
                <c:pt idx="21">
                  <c:v>112.00000000000003</c:v>
                </c:pt>
                <c:pt idx="22">
                  <c:v>112.00000000000003</c:v>
                </c:pt>
                <c:pt idx="23">
                  <c:v>112.00000000000003</c:v>
                </c:pt>
                <c:pt idx="24">
                  <c:v>112.00000000000003</c:v>
                </c:pt>
                <c:pt idx="25">
                  <c:v>112.00000000000003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Sheet1!$G$146</c:f>
              <c:strCache>
                <c:ptCount val="1"/>
                <c:pt idx="0">
                  <c:v>Tariff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Sheet1!$B$147:$B$172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Sheet1!$G$147:$G$172</c:f>
              <c:numCache>
                <c:ptCount val="26"/>
                <c:pt idx="0">
                  <c:v>128.8</c:v>
                </c:pt>
                <c:pt idx="1">
                  <c:v>128.8</c:v>
                </c:pt>
                <c:pt idx="2">
                  <c:v>128.8</c:v>
                </c:pt>
                <c:pt idx="3">
                  <c:v>128.8</c:v>
                </c:pt>
                <c:pt idx="4">
                  <c:v>128.8</c:v>
                </c:pt>
                <c:pt idx="5">
                  <c:v>128.8</c:v>
                </c:pt>
                <c:pt idx="6">
                  <c:v>128.8</c:v>
                </c:pt>
                <c:pt idx="7">
                  <c:v>128.8</c:v>
                </c:pt>
                <c:pt idx="8">
                  <c:v>128.8</c:v>
                </c:pt>
                <c:pt idx="9">
                  <c:v>128.8</c:v>
                </c:pt>
                <c:pt idx="10">
                  <c:v>128.8</c:v>
                </c:pt>
                <c:pt idx="11">
                  <c:v>128.8</c:v>
                </c:pt>
                <c:pt idx="12">
                  <c:v>128.8</c:v>
                </c:pt>
                <c:pt idx="13">
                  <c:v>128.8</c:v>
                </c:pt>
                <c:pt idx="14">
                  <c:v>128.8</c:v>
                </c:pt>
                <c:pt idx="15">
                  <c:v>128.8</c:v>
                </c:pt>
                <c:pt idx="16">
                  <c:v>128.8</c:v>
                </c:pt>
                <c:pt idx="17">
                  <c:v>128.8</c:v>
                </c:pt>
                <c:pt idx="18">
                  <c:v>128.8</c:v>
                </c:pt>
                <c:pt idx="19">
                  <c:v>128.8</c:v>
                </c:pt>
                <c:pt idx="20">
                  <c:v>128.8</c:v>
                </c:pt>
                <c:pt idx="21">
                  <c:v>128.8</c:v>
                </c:pt>
                <c:pt idx="22">
                  <c:v>128.8</c:v>
                </c:pt>
                <c:pt idx="23">
                  <c:v>128.8</c:v>
                </c:pt>
                <c:pt idx="24">
                  <c:v>128.8</c:v>
                </c:pt>
                <c:pt idx="25">
                  <c:v>128.8</c:v>
                </c:pt>
              </c:numCache>
            </c:numRef>
          </c:val>
          <c:smooth val="0"/>
        </c:ser>
        <c:marker val="1"/>
        <c:axId val="19377233"/>
        <c:axId val="40177370"/>
      </c:lineChart>
      <c:catAx>
        <c:axId val="19377233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40177370"/>
        <c:crosses val="autoZero"/>
        <c:auto val="0"/>
        <c:lblOffset val="100"/>
        <c:noMultiLvlLbl val="0"/>
      </c:catAx>
      <c:valAx>
        <c:axId val="40177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#;\-&quot;$&quot;#,##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19377233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115"/>
          <c:w val="1"/>
          <c:h val="0.080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0.0895</cdr:y>
    </cdr:from>
    <cdr:to>
      <cdr:x>0.11525</cdr:x>
      <cdr:y>0.13025</cdr:y>
    </cdr:to>
    <cdr:sp>
      <cdr:nvSpPr>
        <cdr:cNvPr id="1" name="Text 1"/>
        <cdr:cNvSpPr txBox="1">
          <a:spLocks noChangeArrowheads="1"/>
        </cdr:cNvSpPr>
      </cdr:nvSpPr>
      <cdr:spPr>
        <a:xfrm>
          <a:off x="66675" y="476250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Price</a:t>
          </a:r>
        </a:p>
      </cdr:txBody>
    </cdr:sp>
  </cdr:relSizeAnchor>
  <cdr:relSizeAnchor xmlns:cdr="http://schemas.openxmlformats.org/drawingml/2006/chartDrawing">
    <cdr:from>
      <cdr:x>0.82925</cdr:x>
      <cdr:y>0.897</cdr:y>
    </cdr:from>
    <cdr:to>
      <cdr:x>0.97875</cdr:x>
      <cdr:y>0.93775</cdr:y>
    </cdr:to>
    <cdr:sp>
      <cdr:nvSpPr>
        <cdr:cNvPr id="2" name="Text 2"/>
        <cdr:cNvSpPr txBox="1">
          <a:spLocks noChangeArrowheads="1"/>
        </cdr:cNvSpPr>
      </cdr:nvSpPr>
      <cdr:spPr>
        <a:xfrm>
          <a:off x="3848100" y="4810125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Quantity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0.82125</cdr:x>
      <cdr:y>0.879</cdr:y>
    </cdr:from>
    <cdr:to>
      <cdr:x>0.9675</cdr:x>
      <cdr:y>0.91975</cdr:y>
    </cdr:to>
    <cdr:sp>
      <cdr:nvSpPr>
        <cdr:cNvPr id="1" name="Text 1"/>
        <cdr:cNvSpPr txBox="1">
          <a:spLocks noChangeArrowheads="1"/>
        </cdr:cNvSpPr>
      </cdr:nvSpPr>
      <cdr:spPr>
        <a:xfrm>
          <a:off x="3895725" y="4733925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Quantity</a:t>
          </a:r>
        </a:p>
      </cdr:txBody>
    </cdr:sp>
  </cdr:relSizeAnchor>
  <cdr:relSizeAnchor xmlns:cdr="http://schemas.openxmlformats.org/drawingml/2006/chartDrawing">
    <cdr:from>
      <cdr:x>0.0115</cdr:x>
      <cdr:y>0.08925</cdr:y>
    </cdr:from>
    <cdr:to>
      <cdr:x>0.10975</cdr:x>
      <cdr:y>0.13</cdr:y>
    </cdr:to>
    <cdr:sp>
      <cdr:nvSpPr>
        <cdr:cNvPr id="2" name="Text 2"/>
        <cdr:cNvSpPr txBox="1">
          <a:spLocks noChangeArrowheads="1"/>
        </cdr:cNvSpPr>
      </cdr:nvSpPr>
      <cdr:spPr>
        <a:xfrm>
          <a:off x="47625" y="476250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Price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723900</xdr:colOff>
      <xdr:row>9</xdr:row>
      <xdr:rowOff>0</xdr:rowOff>
    </xdr:from>
    <xdr:to>
      <xdr:col>26</xdr:col>
      <xdr:colOff>38100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1791950" y="1800225"/>
        <a:ext cx="65532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67</xdr:row>
      <xdr:rowOff>28575</xdr:rowOff>
    </xdr:from>
    <xdr:to>
      <xdr:col>5</xdr:col>
      <xdr:colOff>695325</xdr:colOff>
      <xdr:row>94</xdr:row>
      <xdr:rowOff>0</xdr:rowOff>
    </xdr:to>
    <xdr:graphicFrame>
      <xdr:nvGraphicFramePr>
        <xdr:cNvPr id="2" name="Chart 2"/>
        <xdr:cNvGraphicFramePr/>
      </xdr:nvGraphicFramePr>
      <xdr:xfrm>
        <a:off x="180975" y="11963400"/>
        <a:ext cx="4648200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67</xdr:row>
      <xdr:rowOff>9525</xdr:rowOff>
    </xdr:from>
    <xdr:to>
      <xdr:col>11</xdr:col>
      <xdr:colOff>342900</xdr:colOff>
      <xdr:row>94</xdr:row>
      <xdr:rowOff>0</xdr:rowOff>
    </xdr:to>
    <xdr:graphicFrame>
      <xdr:nvGraphicFramePr>
        <xdr:cNvPr id="3" name="Chart 3"/>
        <xdr:cNvGraphicFramePr/>
      </xdr:nvGraphicFramePr>
      <xdr:xfrm>
        <a:off x="5057775" y="11944350"/>
        <a:ext cx="4752975" cy="539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28575</xdr:colOff>
      <xdr:row>140</xdr:row>
      <xdr:rowOff>180975</xdr:rowOff>
    </xdr:from>
    <xdr:to>
      <xdr:col>11</xdr:col>
      <xdr:colOff>200025</xdr:colOff>
      <xdr:row>167</xdr:row>
      <xdr:rowOff>142875</xdr:rowOff>
    </xdr:to>
    <xdr:graphicFrame>
      <xdr:nvGraphicFramePr>
        <xdr:cNvPr id="4" name="Chart 4"/>
        <xdr:cNvGraphicFramePr/>
      </xdr:nvGraphicFramePr>
      <xdr:xfrm>
        <a:off x="5943600" y="25869900"/>
        <a:ext cx="3724275" cy="4667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2"/>
  <sheetViews>
    <sheetView tabSelected="1" workbookViewId="0" topLeftCell="A14">
      <selection activeCell="B5" sqref="B5"/>
    </sheetView>
  </sheetViews>
  <sheetFormatPr defaultColWidth="11.421875" defaultRowHeight="12"/>
  <cols>
    <col min="1" max="1" width="5.140625" style="1" customWidth="1"/>
    <col min="2" max="2" width="18.421875" style="1" customWidth="1"/>
    <col min="3" max="3" width="11.00390625" style="1" customWidth="1"/>
    <col min="4" max="4" width="13.57421875" style="1" customWidth="1"/>
    <col min="5" max="6" width="13.8515625" style="1" customWidth="1"/>
    <col min="7" max="8" width="12.8515625" style="1" customWidth="1"/>
    <col min="9" max="10" width="13.421875" style="1" customWidth="1"/>
    <col min="11" max="11" width="13.57421875" style="1" customWidth="1"/>
    <col min="12" max="12" width="6.140625" style="1" customWidth="1"/>
    <col min="13" max="13" width="6.8515625" style="1" customWidth="1"/>
    <col min="14" max="15" width="11.00390625" style="1" customWidth="1"/>
    <col min="16" max="16" width="13.57421875" style="1" customWidth="1"/>
    <col min="17" max="17" width="13.140625" style="1" customWidth="1"/>
    <col min="18" max="18" width="13.57421875" style="1" customWidth="1"/>
    <col min="19" max="19" width="9.421875" style="1" customWidth="1"/>
    <col min="20" max="20" width="6.00390625" style="1" customWidth="1"/>
    <col min="21" max="21" width="7.421875" style="1" customWidth="1"/>
    <col min="22" max="22" width="8.140625" style="1" customWidth="1"/>
    <col min="23" max="23" width="6.57421875" style="1" customWidth="1"/>
    <col min="24" max="24" width="5.8515625" style="1" customWidth="1"/>
    <col min="25" max="25" width="6.421875" style="1" customWidth="1"/>
    <col min="26" max="26" width="7.421875" style="1" customWidth="1"/>
    <col min="27" max="27" width="7.00390625" style="1" customWidth="1"/>
    <col min="28" max="29" width="5.8515625" style="1" customWidth="1"/>
    <col min="30" max="30" width="6.00390625" style="1" customWidth="1"/>
    <col min="31" max="16384" width="11.00390625" style="1" customWidth="1"/>
  </cols>
  <sheetData>
    <row r="1" spans="6:29" ht="24.75" thickBot="1">
      <c r="F1" s="3" t="s">
        <v>89</v>
      </c>
      <c r="G1"/>
      <c r="P1" s="2" t="s">
        <v>90</v>
      </c>
      <c r="T1" s="53">
        <f>-D30</f>
        <v>8</v>
      </c>
      <c r="U1" s="54" t="s">
        <v>91</v>
      </c>
      <c r="V1" s="55">
        <f>C30</f>
        <v>200</v>
      </c>
      <c r="W1" s="55">
        <v>-1</v>
      </c>
      <c r="X1" s="54" t="s">
        <v>92</v>
      </c>
      <c r="Y1" s="55">
        <f>-D31</f>
        <v>-4</v>
      </c>
      <c r="Z1" s="54" t="s">
        <v>93</v>
      </c>
      <c r="AA1" s="55">
        <f>C31</f>
        <v>20</v>
      </c>
      <c r="AB1" s="55">
        <v>-1</v>
      </c>
      <c r="AC1" s="56" t="s">
        <v>94</v>
      </c>
    </row>
    <row r="2" spans="6:29" ht="15" thickBot="1">
      <c r="F2" s="2" t="s">
        <v>95</v>
      </c>
      <c r="O2" s="18" t="s">
        <v>96</v>
      </c>
      <c r="P2" s="19">
        <f>V8</f>
        <v>280.00000000000006</v>
      </c>
      <c r="Q2" s="19">
        <f>W8</f>
        <v>-4.800000000000001</v>
      </c>
      <c r="R2" s="20" t="s">
        <v>97</v>
      </c>
      <c r="T2" s="57">
        <f>-I30</f>
        <v>12</v>
      </c>
      <c r="U2" s="58" t="s">
        <v>98</v>
      </c>
      <c r="V2" s="59">
        <f>H30</f>
        <v>400</v>
      </c>
      <c r="W2" s="59">
        <f>-1</f>
        <v>-1</v>
      </c>
      <c r="X2" s="58" t="s">
        <v>99</v>
      </c>
      <c r="Y2" s="59">
        <f>-I31</f>
        <v>-6</v>
      </c>
      <c r="Z2" s="58" t="s">
        <v>100</v>
      </c>
      <c r="AA2" s="59">
        <f>H31</f>
        <v>40</v>
      </c>
      <c r="AB2" s="59">
        <f>-1</f>
        <v>-1</v>
      </c>
      <c r="AC2" s="60" t="s">
        <v>101</v>
      </c>
    </row>
    <row r="3" spans="6:29" ht="15" thickBot="1">
      <c r="F3" s="2" t="s">
        <v>102</v>
      </c>
      <c r="K3" s="4" t="s">
        <v>103</v>
      </c>
      <c r="O3" s="18" t="s">
        <v>104</v>
      </c>
      <c r="P3" s="19">
        <f>AA8</f>
        <v>28.000000000000007</v>
      </c>
      <c r="Q3" s="21">
        <f>AB8</f>
        <v>2.4000000000000004</v>
      </c>
      <c r="R3" s="20" t="s">
        <v>105</v>
      </c>
      <c r="T3" s="61"/>
      <c r="U3" s="58"/>
      <c r="V3" s="58"/>
      <c r="W3" s="58"/>
      <c r="X3" s="58"/>
      <c r="Y3" s="58"/>
      <c r="Z3" s="58"/>
      <c r="AA3" s="58"/>
      <c r="AB3" s="59"/>
      <c r="AC3" s="60"/>
    </row>
    <row r="4" spans="11:29" ht="15" thickBot="1">
      <c r="K4" s="4"/>
      <c r="O4" s="15" t="s">
        <v>106</v>
      </c>
      <c r="P4" s="22">
        <f>(P2-P3)/(-Q2+Q3)</f>
        <v>35</v>
      </c>
      <c r="T4" s="61"/>
      <c r="U4" s="62" t="s">
        <v>91</v>
      </c>
      <c r="V4" s="59">
        <f>V1/T1</f>
        <v>25</v>
      </c>
      <c r="W4" s="59">
        <f>W1/T1</f>
        <v>-0.125</v>
      </c>
      <c r="X4" s="58" t="s">
        <v>92</v>
      </c>
      <c r="Y4" s="58"/>
      <c r="Z4" s="58" t="s">
        <v>93</v>
      </c>
      <c r="AA4" s="59">
        <f>AA1/Y1</f>
        <v>-5</v>
      </c>
      <c r="AB4" s="59">
        <f>AB1/Y1</f>
        <v>0.25</v>
      </c>
      <c r="AC4" s="60" t="s">
        <v>94</v>
      </c>
    </row>
    <row r="5" spans="3:29" ht="15" customHeight="1" thickBot="1">
      <c r="C5" s="6"/>
      <c r="D5" s="7"/>
      <c r="E5" s="7"/>
      <c r="F5" s="8" t="s">
        <v>107</v>
      </c>
      <c r="G5" s="7"/>
      <c r="H5" s="7"/>
      <c r="I5" s="7"/>
      <c r="J5" s="9"/>
      <c r="O5" s="15" t="s">
        <v>108</v>
      </c>
      <c r="P5" s="23">
        <f>P2+Q2*P4</f>
        <v>112.00000000000003</v>
      </c>
      <c r="T5" s="61"/>
      <c r="U5" s="62" t="s">
        <v>98</v>
      </c>
      <c r="V5" s="59">
        <f>V2/T2</f>
        <v>33.333333333333336</v>
      </c>
      <c r="W5" s="59">
        <f>W2/T2</f>
        <v>-0.08333333333333333</v>
      </c>
      <c r="X5" s="58" t="s">
        <v>99</v>
      </c>
      <c r="Y5" s="58"/>
      <c r="Z5" s="58" t="s">
        <v>100</v>
      </c>
      <c r="AA5" s="59">
        <f>AA2/Y2</f>
        <v>-6.666666666666667</v>
      </c>
      <c r="AB5" s="59">
        <f>AB2/Y2</f>
        <v>0.16666666666666666</v>
      </c>
      <c r="AC5" s="60" t="s">
        <v>101</v>
      </c>
    </row>
    <row r="6" spans="3:29" ht="15" thickBot="1">
      <c r="C6" s="74"/>
      <c r="D6" s="74"/>
      <c r="E6" s="74"/>
      <c r="F6" s="96"/>
      <c r="G6" s="74"/>
      <c r="H6" s="74"/>
      <c r="I6" s="74"/>
      <c r="J6" s="74"/>
      <c r="O6" s="15" t="s">
        <v>109</v>
      </c>
      <c r="P6" s="23">
        <f>P4*P5</f>
        <v>3920.000000000001</v>
      </c>
      <c r="T6" s="61"/>
      <c r="U6" s="62" t="s">
        <v>110</v>
      </c>
      <c r="V6" s="59">
        <f>SUM(V4:V5)</f>
        <v>58.333333333333336</v>
      </c>
      <c r="W6" s="59">
        <f>SUM(W4:W5)</f>
        <v>-0.20833333333333331</v>
      </c>
      <c r="X6" s="58" t="s">
        <v>111</v>
      </c>
      <c r="Y6" s="58"/>
      <c r="Z6" s="62" t="s">
        <v>112</v>
      </c>
      <c r="AA6" s="59">
        <f>SUM(AA4:AA5)</f>
        <v>-11.666666666666668</v>
      </c>
      <c r="AB6" s="59">
        <f>SUM(AB4:AB5)</f>
        <v>0.41666666666666663</v>
      </c>
      <c r="AC6" s="60" t="s">
        <v>113</v>
      </c>
    </row>
    <row r="7" spans="1:29" ht="13.5">
      <c r="A7" s="4" t="s">
        <v>114</v>
      </c>
      <c r="B7" s="5" t="s">
        <v>115</v>
      </c>
      <c r="N7" s="13"/>
      <c r="O7" s="15" t="s">
        <v>116</v>
      </c>
      <c r="P7" s="14" t="s">
        <v>117</v>
      </c>
      <c r="Q7" s="25" t="s">
        <v>118</v>
      </c>
      <c r="R7" s="25" t="s">
        <v>119</v>
      </c>
      <c r="S7" s="25" t="s">
        <v>120</v>
      </c>
      <c r="T7" s="57">
        <f>-W6</f>
        <v>0.20833333333333331</v>
      </c>
      <c r="U7" s="58" t="s">
        <v>96</v>
      </c>
      <c r="V7" s="59">
        <f>V6</f>
        <v>58.333333333333336</v>
      </c>
      <c r="W7" s="59">
        <f>-1</f>
        <v>-1</v>
      </c>
      <c r="X7" s="58" t="s">
        <v>97</v>
      </c>
      <c r="Y7" s="59">
        <f>-AB6</f>
        <v>-0.41666666666666663</v>
      </c>
      <c r="Z7" s="58" t="s">
        <v>104</v>
      </c>
      <c r="AA7" s="59">
        <f>AA6</f>
        <v>-11.666666666666668</v>
      </c>
      <c r="AB7" s="59">
        <f>-1</f>
        <v>-1</v>
      </c>
      <c r="AC7" s="60" t="s">
        <v>105</v>
      </c>
    </row>
    <row r="8" spans="2:29" ht="15" thickBot="1">
      <c r="B8" s="1" t="s">
        <v>121</v>
      </c>
      <c r="N8" s="10"/>
      <c r="O8" s="11">
        <v>0</v>
      </c>
      <c r="P8" s="31">
        <f aca="true" t="shared" si="0" ref="P8:P39">IF(($P$2+$Q$2*O8)&gt;0,($P$2+$Q$2*O8),0)</f>
        <v>280.00000000000006</v>
      </c>
      <c r="Q8" s="31">
        <f aca="true" t="shared" si="1" ref="Q8:Q39">IF(($P$3+$Q$3*O8)&gt;0,($P$3+$Q$3*O8),0)</f>
        <v>28.000000000000007</v>
      </c>
      <c r="R8" s="26">
        <f aca="true" t="shared" si="2" ref="R8:R39">$D$27</f>
        <v>112.00000000000003</v>
      </c>
      <c r="T8" s="63"/>
      <c r="U8" s="64" t="s">
        <v>96</v>
      </c>
      <c r="V8" s="65">
        <f>V7/T7</f>
        <v>280.00000000000006</v>
      </c>
      <c r="W8" s="65">
        <f>W7/T7</f>
        <v>-4.800000000000001</v>
      </c>
      <c r="X8" s="66" t="s">
        <v>97</v>
      </c>
      <c r="Y8" s="67"/>
      <c r="Z8" s="68" t="s">
        <v>104</v>
      </c>
      <c r="AA8" s="69">
        <f>AA7/Y7</f>
        <v>28.000000000000007</v>
      </c>
      <c r="AB8" s="69">
        <f>AB7/Y7</f>
        <v>2.4000000000000004</v>
      </c>
      <c r="AC8" s="70" t="s">
        <v>105</v>
      </c>
    </row>
    <row r="9" spans="2:18" ht="13.5">
      <c r="B9" s="1" t="s">
        <v>122</v>
      </c>
      <c r="N9" s="10"/>
      <c r="O9" s="11">
        <v>1</v>
      </c>
      <c r="P9" s="31">
        <f t="shared" si="0"/>
        <v>275.20000000000005</v>
      </c>
      <c r="Q9" s="31">
        <f t="shared" si="1"/>
        <v>30.400000000000006</v>
      </c>
      <c r="R9" s="26">
        <f t="shared" si="2"/>
        <v>112.00000000000003</v>
      </c>
    </row>
    <row r="10" spans="2:22" ht="13.5">
      <c r="B10" s="1" t="s">
        <v>123</v>
      </c>
      <c r="N10" s="10"/>
      <c r="O10" s="11">
        <v>2</v>
      </c>
      <c r="P10" s="31">
        <f t="shared" si="0"/>
        <v>270.40000000000003</v>
      </c>
      <c r="Q10" s="31">
        <f t="shared" si="1"/>
        <v>32.80000000000001</v>
      </c>
      <c r="R10" s="26">
        <f t="shared" si="2"/>
        <v>112.00000000000003</v>
      </c>
      <c r="T10"/>
      <c r="U10"/>
      <c r="V10"/>
    </row>
    <row r="11" spans="2:22" ht="13.5">
      <c r="B11" s="1" t="s">
        <v>124</v>
      </c>
      <c r="N11" s="10"/>
      <c r="O11" s="11">
        <v>3</v>
      </c>
      <c r="P11" s="31">
        <f t="shared" si="0"/>
        <v>265.6000000000001</v>
      </c>
      <c r="Q11" s="31">
        <f t="shared" si="1"/>
        <v>35.20000000000001</v>
      </c>
      <c r="R11" s="26">
        <f t="shared" si="2"/>
        <v>112.00000000000003</v>
      </c>
      <c r="T11"/>
      <c r="U11"/>
      <c r="V11"/>
    </row>
    <row r="12" spans="2:22" ht="13.5">
      <c r="B12" s="1" t="s">
        <v>125</v>
      </c>
      <c r="N12" s="10"/>
      <c r="O12" s="11">
        <v>4</v>
      </c>
      <c r="P12" s="31">
        <f t="shared" si="0"/>
        <v>260.80000000000007</v>
      </c>
      <c r="Q12" s="31">
        <f t="shared" si="1"/>
        <v>37.60000000000001</v>
      </c>
      <c r="R12" s="26">
        <f t="shared" si="2"/>
        <v>112.00000000000003</v>
      </c>
      <c r="T12"/>
      <c r="U12"/>
      <c r="V12"/>
    </row>
    <row r="13" spans="14:22" ht="13.5">
      <c r="N13" s="10"/>
      <c r="O13" s="11">
        <v>5</v>
      </c>
      <c r="P13" s="31">
        <f t="shared" si="0"/>
        <v>256.00000000000006</v>
      </c>
      <c r="Q13" s="31">
        <f t="shared" si="1"/>
        <v>40.00000000000001</v>
      </c>
      <c r="R13" s="26">
        <f t="shared" si="2"/>
        <v>112.00000000000003</v>
      </c>
      <c r="T13"/>
      <c r="U13"/>
      <c r="V13"/>
    </row>
    <row r="14" spans="2:22" ht="13.5">
      <c r="B14" s="1" t="s">
        <v>126</v>
      </c>
      <c r="N14" s="10"/>
      <c r="O14" s="11">
        <v>6</v>
      </c>
      <c r="P14" s="31">
        <f t="shared" si="0"/>
        <v>251.20000000000005</v>
      </c>
      <c r="Q14" s="31">
        <f t="shared" si="1"/>
        <v>42.400000000000006</v>
      </c>
      <c r="R14" s="26">
        <f t="shared" si="2"/>
        <v>112.00000000000003</v>
      </c>
      <c r="T14"/>
      <c r="U14"/>
      <c r="V14"/>
    </row>
    <row r="15" spans="2:22" ht="13.5">
      <c r="B15" s="1" t="s">
        <v>127</v>
      </c>
      <c r="N15" s="10"/>
      <c r="O15" s="11">
        <v>7</v>
      </c>
      <c r="P15" s="31">
        <f t="shared" si="0"/>
        <v>246.40000000000003</v>
      </c>
      <c r="Q15" s="31">
        <f t="shared" si="1"/>
        <v>44.80000000000001</v>
      </c>
      <c r="R15" s="26">
        <f t="shared" si="2"/>
        <v>112.00000000000003</v>
      </c>
      <c r="T15"/>
      <c r="U15"/>
      <c r="V15"/>
    </row>
    <row r="16" spans="2:26" ht="13.5">
      <c r="B16" s="1" t="s">
        <v>128</v>
      </c>
      <c r="N16" s="10"/>
      <c r="O16" s="11">
        <v>8</v>
      </c>
      <c r="P16" s="31">
        <f t="shared" si="0"/>
        <v>241.60000000000005</v>
      </c>
      <c r="Q16" s="31">
        <f t="shared" si="1"/>
        <v>47.20000000000001</v>
      </c>
      <c r="R16" s="26">
        <f t="shared" si="2"/>
        <v>112.00000000000003</v>
      </c>
      <c r="T16"/>
      <c r="U16"/>
      <c r="V16"/>
      <c r="Y16" s="14"/>
      <c r="Z16" s="14"/>
    </row>
    <row r="17" spans="2:22" ht="13.5">
      <c r="B17" s="1" t="s">
        <v>129</v>
      </c>
      <c r="N17" s="10"/>
      <c r="O17" s="11">
        <v>9</v>
      </c>
      <c r="P17" s="31">
        <f t="shared" si="0"/>
        <v>236.80000000000007</v>
      </c>
      <c r="Q17" s="31">
        <f t="shared" si="1"/>
        <v>49.60000000000001</v>
      </c>
      <c r="R17" s="26">
        <f t="shared" si="2"/>
        <v>112.00000000000003</v>
      </c>
      <c r="T17"/>
      <c r="U17"/>
      <c r="V17"/>
    </row>
    <row r="18" spans="2:22" ht="13.5">
      <c r="B18" s="1" t="s">
        <v>130</v>
      </c>
      <c r="N18" s="10"/>
      <c r="O18" s="11">
        <v>10</v>
      </c>
      <c r="P18" s="31">
        <f t="shared" si="0"/>
        <v>232.00000000000006</v>
      </c>
      <c r="Q18" s="31">
        <f t="shared" si="1"/>
        <v>52.000000000000014</v>
      </c>
      <c r="R18" s="26">
        <f t="shared" si="2"/>
        <v>112.00000000000003</v>
      </c>
      <c r="T18"/>
      <c r="U18"/>
      <c r="V18"/>
    </row>
    <row r="19" spans="2:22" ht="13.5">
      <c r="B19" s="1" t="s">
        <v>0</v>
      </c>
      <c r="N19" s="10"/>
      <c r="O19" s="11">
        <v>11</v>
      </c>
      <c r="P19" s="31">
        <f t="shared" si="0"/>
        <v>227.20000000000005</v>
      </c>
      <c r="Q19" s="31">
        <f t="shared" si="1"/>
        <v>54.40000000000001</v>
      </c>
      <c r="R19" s="26">
        <f t="shared" si="2"/>
        <v>112.00000000000003</v>
      </c>
      <c r="T19"/>
      <c r="U19"/>
      <c r="V19"/>
    </row>
    <row r="20" spans="2:22" ht="13.5">
      <c r="B20" s="1" t="s">
        <v>1</v>
      </c>
      <c r="N20" s="10"/>
      <c r="O20" s="11">
        <v>12</v>
      </c>
      <c r="P20" s="31">
        <f t="shared" si="0"/>
        <v>222.40000000000003</v>
      </c>
      <c r="Q20" s="31">
        <f t="shared" si="1"/>
        <v>56.80000000000001</v>
      </c>
      <c r="R20" s="26">
        <f t="shared" si="2"/>
        <v>112.00000000000003</v>
      </c>
      <c r="T20"/>
      <c r="U20"/>
      <c r="V20"/>
    </row>
    <row r="21" spans="2:22" ht="13.5">
      <c r="B21" s="1" t="s">
        <v>2</v>
      </c>
      <c r="N21" s="10"/>
      <c r="O21" s="11">
        <v>13</v>
      </c>
      <c r="P21" s="31">
        <f t="shared" si="0"/>
        <v>217.60000000000005</v>
      </c>
      <c r="Q21" s="31">
        <f t="shared" si="1"/>
        <v>59.20000000000001</v>
      </c>
      <c r="R21" s="26">
        <f t="shared" si="2"/>
        <v>112.00000000000003</v>
      </c>
      <c r="T21"/>
      <c r="U21"/>
      <c r="V21"/>
    </row>
    <row r="22" spans="2:22" ht="13.5">
      <c r="B22" s="1" t="s">
        <v>3</v>
      </c>
      <c r="N22" s="10"/>
      <c r="O22" s="11">
        <v>14</v>
      </c>
      <c r="P22" s="31">
        <f t="shared" si="0"/>
        <v>212.80000000000004</v>
      </c>
      <c r="Q22" s="31">
        <f t="shared" si="1"/>
        <v>61.600000000000016</v>
      </c>
      <c r="R22" s="26">
        <f t="shared" si="2"/>
        <v>112.00000000000003</v>
      </c>
      <c r="T22"/>
      <c r="U22"/>
      <c r="V22"/>
    </row>
    <row r="23" spans="14:22" ht="13.5">
      <c r="N23" s="10"/>
      <c r="O23" s="11">
        <v>15</v>
      </c>
      <c r="P23" s="31">
        <f t="shared" si="0"/>
        <v>208.00000000000006</v>
      </c>
      <c r="Q23" s="31">
        <f t="shared" si="1"/>
        <v>64.00000000000001</v>
      </c>
      <c r="R23" s="26">
        <f t="shared" si="2"/>
        <v>112.00000000000003</v>
      </c>
      <c r="T23"/>
      <c r="U23"/>
      <c r="V23"/>
    </row>
    <row r="24" spans="2:22" ht="13.5">
      <c r="B24" s="1" t="s">
        <v>4</v>
      </c>
      <c r="N24" s="10"/>
      <c r="O24" s="11">
        <v>16</v>
      </c>
      <c r="P24" s="31">
        <f t="shared" si="0"/>
        <v>203.20000000000005</v>
      </c>
      <c r="Q24" s="31">
        <f t="shared" si="1"/>
        <v>66.4</v>
      </c>
      <c r="R24" s="26">
        <f t="shared" si="2"/>
        <v>112.00000000000003</v>
      </c>
      <c r="T24"/>
      <c r="U24"/>
      <c r="V24"/>
    </row>
    <row r="25" spans="2:22" ht="13.5">
      <c r="B25" s="1" t="s">
        <v>5</v>
      </c>
      <c r="N25" s="10"/>
      <c r="O25" s="11">
        <v>17</v>
      </c>
      <c r="P25" s="31">
        <f t="shared" si="0"/>
        <v>198.40000000000003</v>
      </c>
      <c r="Q25" s="31">
        <f t="shared" si="1"/>
        <v>68.80000000000001</v>
      </c>
      <c r="R25" s="26">
        <f t="shared" si="2"/>
        <v>112.00000000000003</v>
      </c>
      <c r="T25"/>
      <c r="U25"/>
      <c r="V25"/>
    </row>
    <row r="26" spans="2:22" ht="13.5">
      <c r="B26" s="1" t="s">
        <v>6</v>
      </c>
      <c r="N26" s="10"/>
      <c r="O26" s="11">
        <v>18</v>
      </c>
      <c r="P26" s="31">
        <f t="shared" si="0"/>
        <v>193.60000000000005</v>
      </c>
      <c r="Q26" s="31">
        <f t="shared" si="1"/>
        <v>71.20000000000002</v>
      </c>
      <c r="R26" s="26">
        <f t="shared" si="2"/>
        <v>112.00000000000003</v>
      </c>
      <c r="T26"/>
      <c r="U26"/>
      <c r="V26"/>
    </row>
    <row r="27" spans="2:22" ht="13.5">
      <c r="B27" s="1" t="s">
        <v>7</v>
      </c>
      <c r="D27" s="24">
        <f>P5</f>
        <v>112.00000000000003</v>
      </c>
      <c r="E27" s="1" t="s">
        <v>8</v>
      </c>
      <c r="G27" s="13" t="str">
        <f>IF(D27&gt;E33,"exporter","importer")</f>
        <v>exporter</v>
      </c>
      <c r="H27" s="1" t="s">
        <v>9</v>
      </c>
      <c r="J27" s="1" t="str">
        <f>IF(D27&lt;J33,"importing","exporting")</f>
        <v>importing</v>
      </c>
      <c r="N27" s="10"/>
      <c r="O27" s="11">
        <v>19</v>
      </c>
      <c r="P27" s="31">
        <f t="shared" si="0"/>
        <v>188.80000000000004</v>
      </c>
      <c r="Q27" s="31">
        <f t="shared" si="1"/>
        <v>73.60000000000002</v>
      </c>
      <c r="R27" s="26">
        <f t="shared" si="2"/>
        <v>112.00000000000003</v>
      </c>
      <c r="T27"/>
      <c r="U27"/>
      <c r="V27"/>
    </row>
    <row r="28" spans="4:22" ht="15" thickBot="1">
      <c r="D28" s="24"/>
      <c r="G28" s="13"/>
      <c r="N28" s="10"/>
      <c r="O28" s="11">
        <v>20</v>
      </c>
      <c r="P28" s="31">
        <f t="shared" si="0"/>
        <v>184.00000000000006</v>
      </c>
      <c r="Q28" s="31">
        <f t="shared" si="1"/>
        <v>76.00000000000001</v>
      </c>
      <c r="R28" s="26">
        <f t="shared" si="2"/>
        <v>112.00000000000003</v>
      </c>
      <c r="T28"/>
      <c r="U28"/>
      <c r="V28"/>
    </row>
    <row r="29" spans="2:22" ht="15" thickBot="1">
      <c r="B29" s="28"/>
      <c r="C29" s="27" t="s">
        <v>10</v>
      </c>
      <c r="D29" s="7"/>
      <c r="E29" s="9"/>
      <c r="F29" s="77"/>
      <c r="G29" s="28"/>
      <c r="H29" s="27" t="s">
        <v>11</v>
      </c>
      <c r="I29" s="7"/>
      <c r="J29" s="9"/>
      <c r="K29"/>
      <c r="N29" s="10"/>
      <c r="O29" s="11">
        <v>21</v>
      </c>
      <c r="P29" s="31">
        <f t="shared" si="0"/>
        <v>179.20000000000005</v>
      </c>
      <c r="Q29" s="31">
        <f t="shared" si="1"/>
        <v>78.4</v>
      </c>
      <c r="R29" s="26">
        <f t="shared" si="2"/>
        <v>112.00000000000003</v>
      </c>
      <c r="T29"/>
      <c r="U29"/>
      <c r="V29"/>
    </row>
    <row r="30" spans="2:22" ht="15" thickBot="1">
      <c r="B30" s="85" t="s">
        <v>96</v>
      </c>
      <c r="C30" s="86">
        <v>200</v>
      </c>
      <c r="D30" s="86">
        <v>-8</v>
      </c>
      <c r="E30" s="90" t="s">
        <v>97</v>
      </c>
      <c r="F30" s="75"/>
      <c r="G30" s="85" t="s">
        <v>96</v>
      </c>
      <c r="H30" s="86">
        <v>400</v>
      </c>
      <c r="I30" s="86">
        <v>-12</v>
      </c>
      <c r="J30" s="90" t="s">
        <v>97</v>
      </c>
      <c r="K30"/>
      <c r="N30" s="10"/>
      <c r="O30" s="11">
        <v>22</v>
      </c>
      <c r="P30" s="31">
        <f t="shared" si="0"/>
        <v>174.40000000000003</v>
      </c>
      <c r="Q30" s="31">
        <f t="shared" si="1"/>
        <v>80.80000000000001</v>
      </c>
      <c r="R30" s="26">
        <f t="shared" si="2"/>
        <v>112.00000000000003</v>
      </c>
      <c r="T30"/>
      <c r="U30"/>
      <c r="V30"/>
    </row>
    <row r="31" spans="2:22" ht="15" thickBot="1">
      <c r="B31" s="87" t="s">
        <v>104</v>
      </c>
      <c r="C31" s="88">
        <v>20</v>
      </c>
      <c r="D31" s="89">
        <v>4</v>
      </c>
      <c r="E31" s="91" t="s">
        <v>105</v>
      </c>
      <c r="F31" s="75"/>
      <c r="G31" s="87" t="s">
        <v>104</v>
      </c>
      <c r="H31" s="88">
        <v>40</v>
      </c>
      <c r="I31" s="89">
        <f>6</f>
        <v>6</v>
      </c>
      <c r="J31" s="91" t="s">
        <v>105</v>
      </c>
      <c r="K31"/>
      <c r="N31" s="10"/>
      <c r="O31" s="11">
        <v>23</v>
      </c>
      <c r="P31" s="31">
        <f t="shared" si="0"/>
        <v>169.60000000000002</v>
      </c>
      <c r="Q31" s="31">
        <f t="shared" si="1"/>
        <v>83.20000000000002</v>
      </c>
      <c r="R31" s="26">
        <f t="shared" si="2"/>
        <v>112.00000000000003</v>
      </c>
      <c r="T31"/>
      <c r="U31"/>
      <c r="V31"/>
    </row>
    <row r="32" spans="2:22" ht="15" thickBot="1">
      <c r="B32" s="42"/>
      <c r="C32" s="39"/>
      <c r="D32" s="40" t="s">
        <v>12</v>
      </c>
      <c r="E32" s="43">
        <f>(C30-C31)/(-D30+D31)</f>
        <v>15</v>
      </c>
      <c r="F32" s="72"/>
      <c r="G32" s="78"/>
      <c r="H32" s="41"/>
      <c r="I32" s="40" t="s">
        <v>12</v>
      </c>
      <c r="J32" s="43">
        <f>(H30-H31)/(-I30+I31)</f>
        <v>20</v>
      </c>
      <c r="K32"/>
      <c r="N32" s="10"/>
      <c r="O32" s="11">
        <v>24</v>
      </c>
      <c r="P32" s="31">
        <f t="shared" si="0"/>
        <v>164.80000000000004</v>
      </c>
      <c r="Q32" s="31">
        <f t="shared" si="1"/>
        <v>85.60000000000002</v>
      </c>
      <c r="R32" s="26">
        <f t="shared" si="2"/>
        <v>112.00000000000003</v>
      </c>
      <c r="T32"/>
      <c r="U32"/>
      <c r="V32"/>
    </row>
    <row r="33" spans="2:22" ht="15" thickBot="1">
      <c r="B33" s="44"/>
      <c r="C33" s="16"/>
      <c r="D33" s="38" t="s">
        <v>13</v>
      </c>
      <c r="E33" s="143">
        <f>C30+D30*E32</f>
        <v>80</v>
      </c>
      <c r="F33" s="72"/>
      <c r="G33" s="29"/>
      <c r="H33" s="17"/>
      <c r="I33" s="38" t="s">
        <v>13</v>
      </c>
      <c r="J33" s="143">
        <f>H30+I30*J32</f>
        <v>160</v>
      </c>
      <c r="K33"/>
      <c r="N33" s="10"/>
      <c r="O33" s="11">
        <v>25</v>
      </c>
      <c r="P33" s="31">
        <f t="shared" si="0"/>
        <v>160.00000000000006</v>
      </c>
      <c r="Q33" s="31">
        <f t="shared" si="1"/>
        <v>88.00000000000001</v>
      </c>
      <c r="R33" s="26">
        <f t="shared" si="2"/>
        <v>112.00000000000003</v>
      </c>
      <c r="T33"/>
      <c r="U33"/>
      <c r="V33"/>
    </row>
    <row r="34" spans="2:22" ht="15" thickBot="1">
      <c r="B34" s="45"/>
      <c r="C34" s="46"/>
      <c r="D34" s="48" t="s">
        <v>14</v>
      </c>
      <c r="E34" s="144">
        <f>E32*E33</f>
        <v>1200</v>
      </c>
      <c r="F34" s="77"/>
      <c r="G34" s="79"/>
      <c r="H34" s="47"/>
      <c r="I34" s="48" t="s">
        <v>14</v>
      </c>
      <c r="J34" s="144">
        <f>J32*J33</f>
        <v>3200</v>
      </c>
      <c r="K34"/>
      <c r="O34" s="11">
        <f aca="true" t="shared" si="3" ref="O34:O61">O33+1</f>
        <v>26</v>
      </c>
      <c r="P34" s="31">
        <f t="shared" si="0"/>
        <v>155.20000000000005</v>
      </c>
      <c r="Q34" s="31">
        <f t="shared" si="1"/>
        <v>90.4</v>
      </c>
      <c r="R34" s="26">
        <f t="shared" si="2"/>
        <v>112.00000000000003</v>
      </c>
      <c r="T34"/>
      <c r="U34"/>
      <c r="V34"/>
    </row>
    <row r="35" spans="2:22" ht="13.5">
      <c r="B35" s="81"/>
      <c r="C35" s="77"/>
      <c r="D35" s="15" t="s">
        <v>15</v>
      </c>
      <c r="E35" s="92">
        <f>(D27-C30)/D30</f>
        <v>10.999999999999996</v>
      </c>
      <c r="F35" s="77"/>
      <c r="G35" s="80"/>
      <c r="H35" s="76"/>
      <c r="I35" s="15" t="s">
        <v>15</v>
      </c>
      <c r="J35" s="83">
        <f>(D27-H30)/I30</f>
        <v>24</v>
      </c>
      <c r="K35"/>
      <c r="O35" s="11">
        <f t="shared" si="3"/>
        <v>27</v>
      </c>
      <c r="P35" s="31">
        <f t="shared" si="0"/>
        <v>150.40000000000003</v>
      </c>
      <c r="Q35" s="31">
        <f t="shared" si="1"/>
        <v>92.80000000000001</v>
      </c>
      <c r="R35" s="26">
        <f t="shared" si="2"/>
        <v>112.00000000000003</v>
      </c>
      <c r="T35"/>
      <c r="U35"/>
      <c r="V35"/>
    </row>
    <row r="36" spans="2:22" ht="13.5">
      <c r="B36" s="81"/>
      <c r="C36" s="77"/>
      <c r="D36" s="15" t="s">
        <v>16</v>
      </c>
      <c r="E36" s="92">
        <f>(D27-C31)/D31</f>
        <v>23.000000000000007</v>
      </c>
      <c r="F36" s="77"/>
      <c r="G36" s="80"/>
      <c r="H36" s="76"/>
      <c r="I36" s="15" t="s">
        <v>16</v>
      </c>
      <c r="J36" s="83">
        <f>(D27-H31)/I31</f>
        <v>12.000000000000005</v>
      </c>
      <c r="K36"/>
      <c r="O36" s="11">
        <f t="shared" si="3"/>
        <v>28</v>
      </c>
      <c r="P36" s="31">
        <f t="shared" si="0"/>
        <v>145.60000000000002</v>
      </c>
      <c r="Q36" s="31">
        <f t="shared" si="1"/>
        <v>95.20000000000002</v>
      </c>
      <c r="R36" s="26">
        <f t="shared" si="2"/>
        <v>112.00000000000003</v>
      </c>
      <c r="T36"/>
      <c r="U36"/>
      <c r="V36"/>
    </row>
    <row r="37" spans="2:22" ht="15" thickBot="1">
      <c r="B37" s="81"/>
      <c r="C37" s="77"/>
      <c r="D37" s="15" t="str">
        <f>IF(E36&gt;E35,"Surplus =","Shortage =")</f>
        <v>Surplus =</v>
      </c>
      <c r="E37" s="92">
        <f>ABS(E36-E35)</f>
        <v>12.00000000000001</v>
      </c>
      <c r="F37" s="77"/>
      <c r="G37" s="80"/>
      <c r="H37" s="76"/>
      <c r="I37" s="15" t="str">
        <f>IF(J36&gt;J35,"Surplus =","Shortage =")</f>
        <v>Shortage =</v>
      </c>
      <c r="J37" s="84">
        <f>ABS(J35-J36)</f>
        <v>11.999999999999995</v>
      </c>
      <c r="K37"/>
      <c r="O37" s="11">
        <f t="shared" si="3"/>
        <v>29</v>
      </c>
      <c r="P37" s="31">
        <f t="shared" si="0"/>
        <v>140.80000000000004</v>
      </c>
      <c r="Q37" s="31">
        <f t="shared" si="1"/>
        <v>97.60000000000002</v>
      </c>
      <c r="R37" s="26">
        <f t="shared" si="2"/>
        <v>112.00000000000003</v>
      </c>
      <c r="T37"/>
      <c r="U37"/>
      <c r="V37"/>
    </row>
    <row r="38" spans="2:22" ht="15" thickBot="1">
      <c r="B38" s="49" t="s">
        <v>116</v>
      </c>
      <c r="C38" s="50" t="s">
        <v>117</v>
      </c>
      <c r="D38" s="50" t="s">
        <v>17</v>
      </c>
      <c r="E38" s="93" t="s">
        <v>18</v>
      </c>
      <c r="F38" s="51" t="s">
        <v>19</v>
      </c>
      <c r="G38" s="49" t="s">
        <v>116</v>
      </c>
      <c r="H38" s="50" t="s">
        <v>117</v>
      </c>
      <c r="I38" s="50" t="s">
        <v>17</v>
      </c>
      <c r="J38" s="94" t="s">
        <v>18</v>
      </c>
      <c r="K38" s="50" t="s">
        <v>19</v>
      </c>
      <c r="O38" s="11">
        <f t="shared" si="3"/>
        <v>30</v>
      </c>
      <c r="P38" s="31">
        <f t="shared" si="0"/>
        <v>136.00000000000003</v>
      </c>
      <c r="Q38" s="31">
        <f t="shared" si="1"/>
        <v>100.00000000000003</v>
      </c>
      <c r="R38" s="26">
        <f t="shared" si="2"/>
        <v>112.00000000000003</v>
      </c>
      <c r="T38"/>
      <c r="U38"/>
      <c r="V38"/>
    </row>
    <row r="39" spans="2:22" ht="13.5">
      <c r="B39" s="32">
        <v>0</v>
      </c>
      <c r="C39" s="35">
        <f aca="true" t="shared" si="4" ref="C39:C64">IF(($C$30+$D$30*B39)&gt;0,($C$30+$D$30*B39),0)</f>
        <v>200</v>
      </c>
      <c r="D39" s="35">
        <f aca="true" t="shared" si="5" ref="D39:D64">IF(($C$31+$D$31*B39)&gt;0,($C$31+$D$31*B39),0)</f>
        <v>20</v>
      </c>
      <c r="E39" s="26">
        <f aca="true" t="shared" si="6" ref="E39:E64">$E$33</f>
        <v>80</v>
      </c>
      <c r="F39" s="35">
        <f aca="true" t="shared" si="7" ref="F39:F64">$D$27</f>
        <v>112.00000000000003</v>
      </c>
      <c r="G39" s="32">
        <v>0</v>
      </c>
      <c r="H39" s="35">
        <f aca="true" t="shared" si="8" ref="H39:H64">$H$30+$I$30*G39</f>
        <v>400</v>
      </c>
      <c r="I39" s="35">
        <f aca="true" t="shared" si="9" ref="I39:I64">$H$31+$I$31*G39</f>
        <v>40</v>
      </c>
      <c r="J39" s="26">
        <f aca="true" t="shared" si="10" ref="J39:J64">$J$33</f>
        <v>160</v>
      </c>
      <c r="K39" s="35">
        <f aca="true" t="shared" si="11" ref="K39:K64">$D$27</f>
        <v>112.00000000000003</v>
      </c>
      <c r="O39" s="11">
        <f t="shared" si="3"/>
        <v>31</v>
      </c>
      <c r="P39" s="31">
        <f t="shared" si="0"/>
        <v>131.20000000000005</v>
      </c>
      <c r="Q39" s="31">
        <f t="shared" si="1"/>
        <v>102.4</v>
      </c>
      <c r="R39" s="26">
        <f t="shared" si="2"/>
        <v>112.00000000000003</v>
      </c>
      <c r="T39"/>
      <c r="U39"/>
      <c r="V39"/>
    </row>
    <row r="40" spans="2:22" ht="13.5">
      <c r="B40" s="33">
        <v>1</v>
      </c>
      <c r="C40" s="36">
        <f t="shared" si="4"/>
        <v>192</v>
      </c>
      <c r="D40" s="36">
        <f t="shared" si="5"/>
        <v>24</v>
      </c>
      <c r="E40" s="26">
        <f t="shared" si="6"/>
        <v>80</v>
      </c>
      <c r="F40" s="36">
        <f t="shared" si="7"/>
        <v>112.00000000000003</v>
      </c>
      <c r="G40" s="33">
        <v>1</v>
      </c>
      <c r="H40" s="36">
        <f t="shared" si="8"/>
        <v>388</v>
      </c>
      <c r="I40" s="36">
        <f t="shared" si="9"/>
        <v>46</v>
      </c>
      <c r="J40" s="26">
        <f t="shared" si="10"/>
        <v>160</v>
      </c>
      <c r="K40" s="36">
        <f t="shared" si="11"/>
        <v>112.00000000000003</v>
      </c>
      <c r="O40" s="11">
        <f t="shared" si="3"/>
        <v>32</v>
      </c>
      <c r="P40" s="31">
        <f aca="true" t="shared" si="12" ref="P40:P61">IF(($P$2+$Q$2*O40)&gt;0,($P$2+$Q$2*O40),0)</f>
        <v>126.40000000000003</v>
      </c>
      <c r="Q40" s="31">
        <f aca="true" t="shared" si="13" ref="Q40:Q61">IF(($P$3+$Q$3*O40)&gt;0,($P$3+$Q$3*O40),0)</f>
        <v>104.80000000000001</v>
      </c>
      <c r="R40" s="26">
        <f aca="true" t="shared" si="14" ref="R40:R61">$D$27</f>
        <v>112.00000000000003</v>
      </c>
      <c r="T40"/>
      <c r="U40"/>
      <c r="V40"/>
    </row>
    <row r="41" spans="2:22" ht="13.5">
      <c r="B41" s="33">
        <v>2</v>
      </c>
      <c r="C41" s="36">
        <f t="shared" si="4"/>
        <v>184</v>
      </c>
      <c r="D41" s="36">
        <f t="shared" si="5"/>
        <v>28</v>
      </c>
      <c r="E41" s="26">
        <f t="shared" si="6"/>
        <v>80</v>
      </c>
      <c r="F41" s="36">
        <f t="shared" si="7"/>
        <v>112.00000000000003</v>
      </c>
      <c r="G41" s="33">
        <v>2</v>
      </c>
      <c r="H41" s="36">
        <f t="shared" si="8"/>
        <v>376</v>
      </c>
      <c r="I41" s="36">
        <f t="shared" si="9"/>
        <v>52</v>
      </c>
      <c r="J41" s="26">
        <f t="shared" si="10"/>
        <v>160</v>
      </c>
      <c r="K41" s="36">
        <f t="shared" si="11"/>
        <v>112.00000000000003</v>
      </c>
      <c r="O41" s="11">
        <f t="shared" si="3"/>
        <v>33</v>
      </c>
      <c r="P41" s="31">
        <f t="shared" si="12"/>
        <v>121.60000000000002</v>
      </c>
      <c r="Q41" s="31">
        <f t="shared" si="13"/>
        <v>107.20000000000002</v>
      </c>
      <c r="R41" s="26">
        <f t="shared" si="14"/>
        <v>112.00000000000003</v>
      </c>
      <c r="T41"/>
      <c r="U41"/>
      <c r="V41"/>
    </row>
    <row r="42" spans="2:22" ht="13.5">
      <c r="B42" s="33">
        <v>3</v>
      </c>
      <c r="C42" s="36">
        <f t="shared" si="4"/>
        <v>176</v>
      </c>
      <c r="D42" s="36">
        <f t="shared" si="5"/>
        <v>32</v>
      </c>
      <c r="E42" s="26">
        <f t="shared" si="6"/>
        <v>80</v>
      </c>
      <c r="F42" s="36">
        <f t="shared" si="7"/>
        <v>112.00000000000003</v>
      </c>
      <c r="G42" s="33">
        <v>3</v>
      </c>
      <c r="H42" s="36">
        <f t="shared" si="8"/>
        <v>364</v>
      </c>
      <c r="I42" s="36">
        <f t="shared" si="9"/>
        <v>58</v>
      </c>
      <c r="J42" s="26">
        <f t="shared" si="10"/>
        <v>160</v>
      </c>
      <c r="K42" s="36">
        <f t="shared" si="11"/>
        <v>112.00000000000003</v>
      </c>
      <c r="O42" s="11">
        <f t="shared" si="3"/>
        <v>34</v>
      </c>
      <c r="P42" s="31">
        <f t="shared" si="12"/>
        <v>116.80000000000004</v>
      </c>
      <c r="Q42" s="31">
        <f t="shared" si="13"/>
        <v>109.60000000000002</v>
      </c>
      <c r="R42" s="26">
        <f t="shared" si="14"/>
        <v>112.00000000000003</v>
      </c>
      <c r="T42"/>
      <c r="U42"/>
      <c r="V42"/>
    </row>
    <row r="43" spans="2:22" ht="13.5">
      <c r="B43" s="33">
        <v>4</v>
      </c>
      <c r="C43" s="36">
        <f t="shared" si="4"/>
        <v>168</v>
      </c>
      <c r="D43" s="36">
        <f t="shared" si="5"/>
        <v>36</v>
      </c>
      <c r="E43" s="26">
        <f t="shared" si="6"/>
        <v>80</v>
      </c>
      <c r="F43" s="36">
        <f t="shared" si="7"/>
        <v>112.00000000000003</v>
      </c>
      <c r="G43" s="33">
        <v>4</v>
      </c>
      <c r="H43" s="36">
        <f t="shared" si="8"/>
        <v>352</v>
      </c>
      <c r="I43" s="36">
        <f t="shared" si="9"/>
        <v>64</v>
      </c>
      <c r="J43" s="26">
        <f t="shared" si="10"/>
        <v>160</v>
      </c>
      <c r="K43" s="36">
        <f t="shared" si="11"/>
        <v>112.00000000000003</v>
      </c>
      <c r="O43" s="11">
        <f t="shared" si="3"/>
        <v>35</v>
      </c>
      <c r="P43" s="31">
        <f t="shared" si="12"/>
        <v>112.00000000000003</v>
      </c>
      <c r="Q43" s="31">
        <f t="shared" si="13"/>
        <v>112.00000000000003</v>
      </c>
      <c r="R43" s="26">
        <f t="shared" si="14"/>
        <v>112.00000000000003</v>
      </c>
      <c r="T43"/>
      <c r="U43"/>
      <c r="V43"/>
    </row>
    <row r="44" spans="2:22" ht="13.5">
      <c r="B44" s="33">
        <v>5</v>
      </c>
      <c r="C44" s="36">
        <f t="shared" si="4"/>
        <v>160</v>
      </c>
      <c r="D44" s="36">
        <f t="shared" si="5"/>
        <v>40</v>
      </c>
      <c r="E44" s="26">
        <f t="shared" si="6"/>
        <v>80</v>
      </c>
      <c r="F44" s="36">
        <f t="shared" si="7"/>
        <v>112.00000000000003</v>
      </c>
      <c r="G44" s="33">
        <v>5</v>
      </c>
      <c r="H44" s="36">
        <f t="shared" si="8"/>
        <v>340</v>
      </c>
      <c r="I44" s="36">
        <f t="shared" si="9"/>
        <v>70</v>
      </c>
      <c r="J44" s="26">
        <f t="shared" si="10"/>
        <v>160</v>
      </c>
      <c r="K44" s="36">
        <f t="shared" si="11"/>
        <v>112.00000000000003</v>
      </c>
      <c r="O44" s="11">
        <f t="shared" si="3"/>
        <v>36</v>
      </c>
      <c r="P44" s="31">
        <f t="shared" si="12"/>
        <v>107.20000000000005</v>
      </c>
      <c r="Q44" s="31">
        <f t="shared" si="13"/>
        <v>114.4</v>
      </c>
      <c r="R44" s="26">
        <f t="shared" si="14"/>
        <v>112.00000000000003</v>
      </c>
      <c r="T44"/>
      <c r="U44"/>
      <c r="V44"/>
    </row>
    <row r="45" spans="2:22" ht="13.5">
      <c r="B45" s="33">
        <v>6</v>
      </c>
      <c r="C45" s="36">
        <f t="shared" si="4"/>
        <v>152</v>
      </c>
      <c r="D45" s="36">
        <f t="shared" si="5"/>
        <v>44</v>
      </c>
      <c r="E45" s="26">
        <f t="shared" si="6"/>
        <v>80</v>
      </c>
      <c r="F45" s="36">
        <f t="shared" si="7"/>
        <v>112.00000000000003</v>
      </c>
      <c r="G45" s="33">
        <v>6</v>
      </c>
      <c r="H45" s="36">
        <f t="shared" si="8"/>
        <v>328</v>
      </c>
      <c r="I45" s="36">
        <f t="shared" si="9"/>
        <v>76</v>
      </c>
      <c r="J45" s="26">
        <f t="shared" si="10"/>
        <v>160</v>
      </c>
      <c r="K45" s="36">
        <f t="shared" si="11"/>
        <v>112.00000000000003</v>
      </c>
      <c r="O45" s="11">
        <f t="shared" si="3"/>
        <v>37</v>
      </c>
      <c r="P45" s="31">
        <f t="shared" si="12"/>
        <v>102.40000000000003</v>
      </c>
      <c r="Q45" s="31">
        <f t="shared" si="13"/>
        <v>116.80000000000001</v>
      </c>
      <c r="R45" s="26">
        <f t="shared" si="14"/>
        <v>112.00000000000003</v>
      </c>
      <c r="T45"/>
      <c r="U45"/>
      <c r="V45"/>
    </row>
    <row r="46" spans="2:22" ht="13.5">
      <c r="B46" s="33">
        <v>7</v>
      </c>
      <c r="C46" s="36">
        <f t="shared" si="4"/>
        <v>144</v>
      </c>
      <c r="D46" s="36">
        <f t="shared" si="5"/>
        <v>48</v>
      </c>
      <c r="E46" s="26">
        <f t="shared" si="6"/>
        <v>80</v>
      </c>
      <c r="F46" s="36">
        <f t="shared" si="7"/>
        <v>112.00000000000003</v>
      </c>
      <c r="G46" s="33">
        <v>7</v>
      </c>
      <c r="H46" s="36">
        <f t="shared" si="8"/>
        <v>316</v>
      </c>
      <c r="I46" s="36">
        <f t="shared" si="9"/>
        <v>82</v>
      </c>
      <c r="J46" s="26">
        <f t="shared" si="10"/>
        <v>160</v>
      </c>
      <c r="K46" s="36">
        <f t="shared" si="11"/>
        <v>112.00000000000003</v>
      </c>
      <c r="O46" s="11">
        <f t="shared" si="3"/>
        <v>38</v>
      </c>
      <c r="P46" s="31">
        <f t="shared" si="12"/>
        <v>97.60000000000002</v>
      </c>
      <c r="Q46" s="31">
        <f t="shared" si="13"/>
        <v>119.20000000000002</v>
      </c>
      <c r="R46" s="26">
        <f t="shared" si="14"/>
        <v>112.00000000000003</v>
      </c>
      <c r="T46"/>
      <c r="U46"/>
      <c r="V46"/>
    </row>
    <row r="47" spans="2:22" ht="13.5">
      <c r="B47" s="33">
        <v>8</v>
      </c>
      <c r="C47" s="36">
        <f t="shared" si="4"/>
        <v>136</v>
      </c>
      <c r="D47" s="36">
        <f t="shared" si="5"/>
        <v>52</v>
      </c>
      <c r="E47" s="26">
        <f t="shared" si="6"/>
        <v>80</v>
      </c>
      <c r="F47" s="36">
        <f t="shared" si="7"/>
        <v>112.00000000000003</v>
      </c>
      <c r="G47" s="33">
        <v>8</v>
      </c>
      <c r="H47" s="36">
        <f t="shared" si="8"/>
        <v>304</v>
      </c>
      <c r="I47" s="36">
        <f t="shared" si="9"/>
        <v>88</v>
      </c>
      <c r="J47" s="26">
        <f t="shared" si="10"/>
        <v>160</v>
      </c>
      <c r="K47" s="36">
        <f t="shared" si="11"/>
        <v>112.00000000000003</v>
      </c>
      <c r="O47" s="11">
        <f t="shared" si="3"/>
        <v>39</v>
      </c>
      <c r="P47" s="31">
        <f t="shared" si="12"/>
        <v>92.80000000000004</v>
      </c>
      <c r="Q47" s="31">
        <f t="shared" si="13"/>
        <v>121.60000000000002</v>
      </c>
      <c r="R47" s="26">
        <f t="shared" si="14"/>
        <v>112.00000000000003</v>
      </c>
      <c r="T47"/>
      <c r="U47"/>
      <c r="V47"/>
    </row>
    <row r="48" spans="2:22" ht="13.5">
      <c r="B48" s="33">
        <v>9</v>
      </c>
      <c r="C48" s="36">
        <f t="shared" si="4"/>
        <v>128</v>
      </c>
      <c r="D48" s="36">
        <f t="shared" si="5"/>
        <v>56</v>
      </c>
      <c r="E48" s="26">
        <f t="shared" si="6"/>
        <v>80</v>
      </c>
      <c r="F48" s="36">
        <f t="shared" si="7"/>
        <v>112.00000000000003</v>
      </c>
      <c r="G48" s="33">
        <v>9</v>
      </c>
      <c r="H48" s="36">
        <f t="shared" si="8"/>
        <v>292</v>
      </c>
      <c r="I48" s="36">
        <f t="shared" si="9"/>
        <v>94</v>
      </c>
      <c r="J48" s="26">
        <f t="shared" si="10"/>
        <v>160</v>
      </c>
      <c r="K48" s="36">
        <f t="shared" si="11"/>
        <v>112.00000000000003</v>
      </c>
      <c r="O48" s="11">
        <f t="shared" si="3"/>
        <v>40</v>
      </c>
      <c r="P48" s="31">
        <f t="shared" si="12"/>
        <v>88.00000000000003</v>
      </c>
      <c r="Q48" s="31">
        <f t="shared" si="13"/>
        <v>124.00000000000003</v>
      </c>
      <c r="R48" s="26">
        <f t="shared" si="14"/>
        <v>112.00000000000003</v>
      </c>
      <c r="T48"/>
      <c r="U48"/>
      <c r="V48"/>
    </row>
    <row r="49" spans="2:22" ht="13.5">
      <c r="B49" s="33">
        <v>10</v>
      </c>
      <c r="C49" s="36">
        <f t="shared" si="4"/>
        <v>120</v>
      </c>
      <c r="D49" s="36">
        <f t="shared" si="5"/>
        <v>60</v>
      </c>
      <c r="E49" s="26">
        <f t="shared" si="6"/>
        <v>80</v>
      </c>
      <c r="F49" s="36">
        <f t="shared" si="7"/>
        <v>112.00000000000003</v>
      </c>
      <c r="G49" s="33">
        <v>10</v>
      </c>
      <c r="H49" s="36">
        <f t="shared" si="8"/>
        <v>280</v>
      </c>
      <c r="I49" s="36">
        <f t="shared" si="9"/>
        <v>100</v>
      </c>
      <c r="J49" s="26">
        <f t="shared" si="10"/>
        <v>160</v>
      </c>
      <c r="K49" s="36">
        <f t="shared" si="11"/>
        <v>112.00000000000003</v>
      </c>
      <c r="O49" s="11">
        <f t="shared" si="3"/>
        <v>41</v>
      </c>
      <c r="P49" s="31">
        <f t="shared" si="12"/>
        <v>83.20000000000002</v>
      </c>
      <c r="Q49" s="31">
        <f t="shared" si="13"/>
        <v>126.40000000000003</v>
      </c>
      <c r="R49" s="26">
        <f t="shared" si="14"/>
        <v>112.00000000000003</v>
      </c>
      <c r="T49"/>
      <c r="U49"/>
      <c r="V49"/>
    </row>
    <row r="50" spans="2:22" ht="13.5">
      <c r="B50" s="33">
        <v>11</v>
      </c>
      <c r="C50" s="36">
        <f t="shared" si="4"/>
        <v>112</v>
      </c>
      <c r="D50" s="36">
        <f t="shared" si="5"/>
        <v>64</v>
      </c>
      <c r="E50" s="26">
        <f t="shared" si="6"/>
        <v>80</v>
      </c>
      <c r="F50" s="36">
        <f t="shared" si="7"/>
        <v>112.00000000000003</v>
      </c>
      <c r="G50" s="33">
        <v>11</v>
      </c>
      <c r="H50" s="36">
        <f t="shared" si="8"/>
        <v>268</v>
      </c>
      <c r="I50" s="36">
        <f t="shared" si="9"/>
        <v>106</v>
      </c>
      <c r="J50" s="26">
        <f t="shared" si="10"/>
        <v>160</v>
      </c>
      <c r="K50" s="36">
        <f t="shared" si="11"/>
        <v>112.00000000000003</v>
      </c>
      <c r="O50" s="11">
        <f t="shared" si="3"/>
        <v>42</v>
      </c>
      <c r="P50" s="31">
        <f t="shared" si="12"/>
        <v>78.40000000000003</v>
      </c>
      <c r="Q50" s="31">
        <f t="shared" si="13"/>
        <v>128.8</v>
      </c>
      <c r="R50" s="26">
        <f t="shared" si="14"/>
        <v>112.00000000000003</v>
      </c>
      <c r="T50"/>
      <c r="U50"/>
      <c r="V50"/>
    </row>
    <row r="51" spans="2:22" ht="13.5">
      <c r="B51" s="33">
        <v>12</v>
      </c>
      <c r="C51" s="36">
        <f t="shared" si="4"/>
        <v>104</v>
      </c>
      <c r="D51" s="36">
        <f t="shared" si="5"/>
        <v>68</v>
      </c>
      <c r="E51" s="26">
        <f t="shared" si="6"/>
        <v>80</v>
      </c>
      <c r="F51" s="36">
        <f t="shared" si="7"/>
        <v>112.00000000000003</v>
      </c>
      <c r="G51" s="33">
        <v>12</v>
      </c>
      <c r="H51" s="36">
        <f t="shared" si="8"/>
        <v>256</v>
      </c>
      <c r="I51" s="36">
        <f t="shared" si="9"/>
        <v>112</v>
      </c>
      <c r="J51" s="26">
        <f t="shared" si="10"/>
        <v>160</v>
      </c>
      <c r="K51" s="36">
        <f t="shared" si="11"/>
        <v>112.00000000000003</v>
      </c>
      <c r="O51" s="11">
        <f t="shared" si="3"/>
        <v>43</v>
      </c>
      <c r="P51" s="31">
        <f t="shared" si="12"/>
        <v>73.60000000000002</v>
      </c>
      <c r="Q51" s="31">
        <f t="shared" si="13"/>
        <v>131.20000000000002</v>
      </c>
      <c r="R51" s="26">
        <f t="shared" si="14"/>
        <v>112.00000000000003</v>
      </c>
      <c r="T51"/>
      <c r="U51"/>
      <c r="V51"/>
    </row>
    <row r="52" spans="2:22" ht="13.5">
      <c r="B52" s="33">
        <v>13</v>
      </c>
      <c r="C52" s="36">
        <f t="shared" si="4"/>
        <v>96</v>
      </c>
      <c r="D52" s="36">
        <f t="shared" si="5"/>
        <v>72</v>
      </c>
      <c r="E52" s="26">
        <f t="shared" si="6"/>
        <v>80</v>
      </c>
      <c r="F52" s="36">
        <f t="shared" si="7"/>
        <v>112.00000000000003</v>
      </c>
      <c r="G52" s="33">
        <v>13</v>
      </c>
      <c r="H52" s="36">
        <f t="shared" si="8"/>
        <v>244</v>
      </c>
      <c r="I52" s="36">
        <f t="shared" si="9"/>
        <v>118</v>
      </c>
      <c r="J52" s="26">
        <f t="shared" si="10"/>
        <v>160</v>
      </c>
      <c r="K52" s="36">
        <f t="shared" si="11"/>
        <v>112.00000000000003</v>
      </c>
      <c r="O52" s="11">
        <f t="shared" si="3"/>
        <v>44</v>
      </c>
      <c r="P52" s="31">
        <f t="shared" si="12"/>
        <v>68.80000000000001</v>
      </c>
      <c r="Q52" s="31">
        <f t="shared" si="13"/>
        <v>133.60000000000002</v>
      </c>
      <c r="R52" s="26">
        <f t="shared" si="14"/>
        <v>112.00000000000003</v>
      </c>
      <c r="T52"/>
      <c r="U52"/>
      <c r="V52"/>
    </row>
    <row r="53" spans="2:22" ht="13.5">
      <c r="B53" s="33">
        <v>14</v>
      </c>
      <c r="C53" s="36">
        <f t="shared" si="4"/>
        <v>88</v>
      </c>
      <c r="D53" s="36">
        <f t="shared" si="5"/>
        <v>76</v>
      </c>
      <c r="E53" s="26">
        <f t="shared" si="6"/>
        <v>80</v>
      </c>
      <c r="F53" s="36">
        <f t="shared" si="7"/>
        <v>112.00000000000003</v>
      </c>
      <c r="G53" s="33">
        <v>14</v>
      </c>
      <c r="H53" s="36">
        <f t="shared" si="8"/>
        <v>232</v>
      </c>
      <c r="I53" s="36">
        <f t="shared" si="9"/>
        <v>124</v>
      </c>
      <c r="J53" s="26">
        <f t="shared" si="10"/>
        <v>160</v>
      </c>
      <c r="K53" s="36">
        <f t="shared" si="11"/>
        <v>112.00000000000003</v>
      </c>
      <c r="O53" s="11">
        <f t="shared" si="3"/>
        <v>45</v>
      </c>
      <c r="P53" s="31">
        <f t="shared" si="12"/>
        <v>64.00000000000003</v>
      </c>
      <c r="Q53" s="31">
        <f t="shared" si="13"/>
        <v>136.00000000000003</v>
      </c>
      <c r="R53" s="26">
        <f t="shared" si="14"/>
        <v>112.00000000000003</v>
      </c>
      <c r="T53"/>
      <c r="U53"/>
      <c r="V53"/>
    </row>
    <row r="54" spans="2:22" ht="13.5">
      <c r="B54" s="33">
        <v>15</v>
      </c>
      <c r="C54" s="36">
        <f t="shared" si="4"/>
        <v>80</v>
      </c>
      <c r="D54" s="36">
        <f t="shared" si="5"/>
        <v>80</v>
      </c>
      <c r="E54" s="26">
        <f t="shared" si="6"/>
        <v>80</v>
      </c>
      <c r="F54" s="36">
        <f t="shared" si="7"/>
        <v>112.00000000000003</v>
      </c>
      <c r="G54" s="33">
        <v>15</v>
      </c>
      <c r="H54" s="36">
        <f t="shared" si="8"/>
        <v>220</v>
      </c>
      <c r="I54" s="36">
        <f t="shared" si="9"/>
        <v>130</v>
      </c>
      <c r="J54" s="26">
        <f t="shared" si="10"/>
        <v>160</v>
      </c>
      <c r="K54" s="36">
        <f t="shared" si="11"/>
        <v>112.00000000000003</v>
      </c>
      <c r="O54" s="11">
        <f t="shared" si="3"/>
        <v>46</v>
      </c>
      <c r="P54" s="31">
        <f t="shared" si="12"/>
        <v>59.20000000000002</v>
      </c>
      <c r="Q54" s="31">
        <f t="shared" si="13"/>
        <v>138.40000000000003</v>
      </c>
      <c r="R54" s="26">
        <f t="shared" si="14"/>
        <v>112.00000000000003</v>
      </c>
      <c r="T54"/>
      <c r="U54"/>
      <c r="V54"/>
    </row>
    <row r="55" spans="2:22" ht="13.5">
      <c r="B55" s="33">
        <v>16</v>
      </c>
      <c r="C55" s="36">
        <f t="shared" si="4"/>
        <v>72</v>
      </c>
      <c r="D55" s="36">
        <f t="shared" si="5"/>
        <v>84</v>
      </c>
      <c r="E55" s="26">
        <f t="shared" si="6"/>
        <v>80</v>
      </c>
      <c r="F55" s="36">
        <f t="shared" si="7"/>
        <v>112.00000000000003</v>
      </c>
      <c r="G55" s="33">
        <v>16</v>
      </c>
      <c r="H55" s="36">
        <f t="shared" si="8"/>
        <v>208</v>
      </c>
      <c r="I55" s="36">
        <f t="shared" si="9"/>
        <v>136</v>
      </c>
      <c r="J55" s="26">
        <f t="shared" si="10"/>
        <v>160</v>
      </c>
      <c r="K55" s="36">
        <f t="shared" si="11"/>
        <v>112.00000000000003</v>
      </c>
      <c r="O55" s="11">
        <f t="shared" si="3"/>
        <v>47</v>
      </c>
      <c r="P55" s="31">
        <f t="shared" si="12"/>
        <v>54.400000000000034</v>
      </c>
      <c r="Q55" s="31">
        <f t="shared" si="13"/>
        <v>140.8</v>
      </c>
      <c r="R55" s="26">
        <f t="shared" si="14"/>
        <v>112.00000000000003</v>
      </c>
      <c r="T55"/>
      <c r="U55"/>
      <c r="V55"/>
    </row>
    <row r="56" spans="2:22" ht="13.5">
      <c r="B56" s="33">
        <v>17</v>
      </c>
      <c r="C56" s="36">
        <f t="shared" si="4"/>
        <v>64</v>
      </c>
      <c r="D56" s="36">
        <f t="shared" si="5"/>
        <v>88</v>
      </c>
      <c r="E56" s="26">
        <f t="shared" si="6"/>
        <v>80</v>
      </c>
      <c r="F56" s="36">
        <f t="shared" si="7"/>
        <v>112.00000000000003</v>
      </c>
      <c r="G56" s="33">
        <v>17</v>
      </c>
      <c r="H56" s="36">
        <f t="shared" si="8"/>
        <v>196</v>
      </c>
      <c r="I56" s="36">
        <f t="shared" si="9"/>
        <v>142</v>
      </c>
      <c r="J56" s="26">
        <f t="shared" si="10"/>
        <v>160</v>
      </c>
      <c r="K56" s="36">
        <f t="shared" si="11"/>
        <v>112.00000000000003</v>
      </c>
      <c r="O56" s="11">
        <f t="shared" si="3"/>
        <v>48</v>
      </c>
      <c r="P56" s="31">
        <f t="shared" si="12"/>
        <v>49.60000000000002</v>
      </c>
      <c r="Q56" s="31">
        <f t="shared" si="13"/>
        <v>143.20000000000002</v>
      </c>
      <c r="R56" s="26">
        <f t="shared" si="14"/>
        <v>112.00000000000003</v>
      </c>
      <c r="T56"/>
      <c r="U56"/>
      <c r="V56"/>
    </row>
    <row r="57" spans="2:22" ht="13.5">
      <c r="B57" s="33">
        <v>18</v>
      </c>
      <c r="C57" s="36">
        <f t="shared" si="4"/>
        <v>56</v>
      </c>
      <c r="D57" s="36">
        <f t="shared" si="5"/>
        <v>92</v>
      </c>
      <c r="E57" s="26">
        <f t="shared" si="6"/>
        <v>80</v>
      </c>
      <c r="F57" s="36">
        <f t="shared" si="7"/>
        <v>112.00000000000003</v>
      </c>
      <c r="G57" s="33">
        <v>18</v>
      </c>
      <c r="H57" s="36">
        <f t="shared" si="8"/>
        <v>184</v>
      </c>
      <c r="I57" s="36">
        <f t="shared" si="9"/>
        <v>148</v>
      </c>
      <c r="J57" s="26">
        <f t="shared" si="10"/>
        <v>160</v>
      </c>
      <c r="K57" s="36">
        <f t="shared" si="11"/>
        <v>112.00000000000003</v>
      </c>
      <c r="O57" s="11">
        <f t="shared" si="3"/>
        <v>49</v>
      </c>
      <c r="P57" s="31">
        <f t="shared" si="12"/>
        <v>44.80000000000001</v>
      </c>
      <c r="Q57" s="31">
        <f t="shared" si="13"/>
        <v>145.60000000000002</v>
      </c>
      <c r="R57" s="26">
        <f t="shared" si="14"/>
        <v>112.00000000000003</v>
      </c>
      <c r="T57"/>
      <c r="U57"/>
      <c r="V57"/>
    </row>
    <row r="58" spans="2:22" ht="13.5">
      <c r="B58" s="33">
        <v>19</v>
      </c>
      <c r="C58" s="36">
        <f t="shared" si="4"/>
        <v>48</v>
      </c>
      <c r="D58" s="36">
        <f t="shared" si="5"/>
        <v>96</v>
      </c>
      <c r="E58" s="26">
        <f t="shared" si="6"/>
        <v>80</v>
      </c>
      <c r="F58" s="36">
        <f t="shared" si="7"/>
        <v>112.00000000000003</v>
      </c>
      <c r="G58" s="33">
        <v>19</v>
      </c>
      <c r="H58" s="36">
        <f t="shared" si="8"/>
        <v>172</v>
      </c>
      <c r="I58" s="36">
        <f t="shared" si="9"/>
        <v>154</v>
      </c>
      <c r="J58" s="26">
        <f t="shared" si="10"/>
        <v>160</v>
      </c>
      <c r="K58" s="36">
        <f t="shared" si="11"/>
        <v>112.00000000000003</v>
      </c>
      <c r="O58" s="11">
        <f t="shared" si="3"/>
        <v>50</v>
      </c>
      <c r="P58" s="31">
        <f t="shared" si="12"/>
        <v>40.00000000000003</v>
      </c>
      <c r="Q58" s="31">
        <f t="shared" si="13"/>
        <v>148.00000000000003</v>
      </c>
      <c r="R58" s="26">
        <f t="shared" si="14"/>
        <v>112.00000000000003</v>
      </c>
      <c r="T58"/>
      <c r="U58"/>
      <c r="V58"/>
    </row>
    <row r="59" spans="2:22" ht="13.5">
      <c r="B59" s="33">
        <v>20</v>
      </c>
      <c r="C59" s="36">
        <f t="shared" si="4"/>
        <v>40</v>
      </c>
      <c r="D59" s="36">
        <f t="shared" si="5"/>
        <v>100</v>
      </c>
      <c r="E59" s="26">
        <f t="shared" si="6"/>
        <v>80</v>
      </c>
      <c r="F59" s="36">
        <f t="shared" si="7"/>
        <v>112.00000000000003</v>
      </c>
      <c r="G59" s="33">
        <v>20</v>
      </c>
      <c r="H59" s="36">
        <f t="shared" si="8"/>
        <v>160</v>
      </c>
      <c r="I59" s="36">
        <f t="shared" si="9"/>
        <v>160</v>
      </c>
      <c r="J59" s="26">
        <f t="shared" si="10"/>
        <v>160</v>
      </c>
      <c r="K59" s="36">
        <f t="shared" si="11"/>
        <v>112.00000000000003</v>
      </c>
      <c r="O59" s="11">
        <f t="shared" si="3"/>
        <v>51</v>
      </c>
      <c r="P59" s="31">
        <f t="shared" si="12"/>
        <v>35.20000000000002</v>
      </c>
      <c r="Q59" s="31">
        <f t="shared" si="13"/>
        <v>150.40000000000003</v>
      </c>
      <c r="R59" s="26">
        <f t="shared" si="14"/>
        <v>112.00000000000003</v>
      </c>
      <c r="T59"/>
      <c r="U59"/>
      <c r="V59"/>
    </row>
    <row r="60" spans="2:22" ht="13.5">
      <c r="B60" s="33">
        <v>21</v>
      </c>
      <c r="C60" s="36">
        <f t="shared" si="4"/>
        <v>32</v>
      </c>
      <c r="D60" s="36">
        <f t="shared" si="5"/>
        <v>104</v>
      </c>
      <c r="E60" s="26">
        <f t="shared" si="6"/>
        <v>80</v>
      </c>
      <c r="F60" s="36">
        <f t="shared" si="7"/>
        <v>112.00000000000003</v>
      </c>
      <c r="G60" s="33">
        <v>21</v>
      </c>
      <c r="H60" s="36">
        <f t="shared" si="8"/>
        <v>148</v>
      </c>
      <c r="I60" s="36">
        <f t="shared" si="9"/>
        <v>166</v>
      </c>
      <c r="J60" s="26">
        <f t="shared" si="10"/>
        <v>160</v>
      </c>
      <c r="K60" s="36">
        <f t="shared" si="11"/>
        <v>112.00000000000003</v>
      </c>
      <c r="O60" s="11">
        <f t="shared" si="3"/>
        <v>52</v>
      </c>
      <c r="P60" s="31">
        <f t="shared" si="12"/>
        <v>30.400000000000034</v>
      </c>
      <c r="Q60" s="31">
        <f t="shared" si="13"/>
        <v>152.8</v>
      </c>
      <c r="R60" s="26">
        <f t="shared" si="14"/>
        <v>112.00000000000003</v>
      </c>
      <c r="T60"/>
      <c r="U60"/>
      <c r="V60"/>
    </row>
    <row r="61" spans="2:22" ht="13.5">
      <c r="B61" s="33">
        <v>22</v>
      </c>
      <c r="C61" s="36">
        <f t="shared" si="4"/>
        <v>24</v>
      </c>
      <c r="D61" s="36">
        <f t="shared" si="5"/>
        <v>108</v>
      </c>
      <c r="E61" s="26">
        <f t="shared" si="6"/>
        <v>80</v>
      </c>
      <c r="F61" s="36">
        <f t="shared" si="7"/>
        <v>112.00000000000003</v>
      </c>
      <c r="G61" s="33">
        <v>22</v>
      </c>
      <c r="H61" s="36">
        <f t="shared" si="8"/>
        <v>136</v>
      </c>
      <c r="I61" s="36">
        <f t="shared" si="9"/>
        <v>172</v>
      </c>
      <c r="J61" s="26">
        <f t="shared" si="10"/>
        <v>160</v>
      </c>
      <c r="K61" s="36">
        <f t="shared" si="11"/>
        <v>112.00000000000003</v>
      </c>
      <c r="O61" s="11">
        <f t="shared" si="3"/>
        <v>53</v>
      </c>
      <c r="P61" s="31">
        <f t="shared" si="12"/>
        <v>25.600000000000023</v>
      </c>
      <c r="Q61" s="31">
        <f t="shared" si="13"/>
        <v>155.20000000000002</v>
      </c>
      <c r="R61" s="26">
        <f t="shared" si="14"/>
        <v>112.00000000000003</v>
      </c>
      <c r="T61"/>
      <c r="U61"/>
      <c r="V61"/>
    </row>
    <row r="62" spans="2:22" ht="13.5">
      <c r="B62" s="33">
        <v>23</v>
      </c>
      <c r="C62" s="36">
        <f t="shared" si="4"/>
        <v>16</v>
      </c>
      <c r="D62" s="36">
        <f t="shared" si="5"/>
        <v>112</v>
      </c>
      <c r="E62" s="26">
        <f t="shared" si="6"/>
        <v>80</v>
      </c>
      <c r="F62" s="36">
        <f t="shared" si="7"/>
        <v>112.00000000000003</v>
      </c>
      <c r="G62" s="33">
        <v>23</v>
      </c>
      <c r="H62" s="36">
        <f t="shared" si="8"/>
        <v>124</v>
      </c>
      <c r="I62" s="36">
        <f t="shared" si="9"/>
        <v>178</v>
      </c>
      <c r="J62" s="26">
        <f t="shared" si="10"/>
        <v>160</v>
      </c>
      <c r="K62" s="36">
        <f t="shared" si="11"/>
        <v>112.00000000000003</v>
      </c>
      <c r="Q62"/>
      <c r="R62"/>
      <c r="S62"/>
      <c r="T62"/>
      <c r="U62"/>
      <c r="V62"/>
    </row>
    <row r="63" spans="2:22" ht="13.5">
      <c r="B63" s="33">
        <v>24</v>
      </c>
      <c r="C63" s="36">
        <f t="shared" si="4"/>
        <v>8</v>
      </c>
      <c r="D63" s="36">
        <f t="shared" si="5"/>
        <v>116</v>
      </c>
      <c r="E63" s="26">
        <f t="shared" si="6"/>
        <v>80</v>
      </c>
      <c r="F63" s="36">
        <f t="shared" si="7"/>
        <v>112.00000000000003</v>
      </c>
      <c r="G63" s="33">
        <v>24</v>
      </c>
      <c r="H63" s="36">
        <f t="shared" si="8"/>
        <v>112</v>
      </c>
      <c r="I63" s="36">
        <f t="shared" si="9"/>
        <v>184</v>
      </c>
      <c r="J63" s="26">
        <f t="shared" si="10"/>
        <v>160</v>
      </c>
      <c r="K63" s="36">
        <f t="shared" si="11"/>
        <v>112.00000000000003</v>
      </c>
      <c r="Q63"/>
      <c r="R63"/>
      <c r="S63"/>
      <c r="T63"/>
      <c r="U63"/>
      <c r="V63"/>
    </row>
    <row r="64" spans="2:22" ht="15" thickBot="1">
      <c r="B64" s="34">
        <v>25</v>
      </c>
      <c r="C64" s="37">
        <f t="shared" si="4"/>
        <v>0</v>
      </c>
      <c r="D64" s="37">
        <f t="shared" si="5"/>
        <v>120</v>
      </c>
      <c r="E64" s="95">
        <f t="shared" si="6"/>
        <v>80</v>
      </c>
      <c r="F64" s="37">
        <f t="shared" si="7"/>
        <v>112.00000000000003</v>
      </c>
      <c r="G64" s="34">
        <v>25</v>
      </c>
      <c r="H64" s="37">
        <f t="shared" si="8"/>
        <v>100</v>
      </c>
      <c r="I64" s="37">
        <f t="shared" si="9"/>
        <v>190</v>
      </c>
      <c r="J64" s="95">
        <f t="shared" si="10"/>
        <v>160</v>
      </c>
      <c r="K64" s="37">
        <f t="shared" si="11"/>
        <v>112.00000000000003</v>
      </c>
      <c r="Q64"/>
      <c r="R64"/>
      <c r="S64"/>
      <c r="T64"/>
      <c r="U64"/>
      <c r="V64"/>
    </row>
    <row r="65" spans="4:22" ht="13.5">
      <c r="D65" s="12"/>
      <c r="E65"/>
      <c r="J65"/>
      <c r="K65"/>
      <c r="Q65"/>
      <c r="R65"/>
      <c r="S65"/>
      <c r="T65"/>
      <c r="U65"/>
      <c r="V65"/>
    </row>
    <row r="66" spans="17:22" ht="13.5">
      <c r="Q66"/>
      <c r="R66"/>
      <c r="S66"/>
      <c r="T66"/>
      <c r="U66"/>
      <c r="V66"/>
    </row>
    <row r="67" spans="3:22" ht="13.5">
      <c r="C67" s="5" t="s">
        <v>20</v>
      </c>
      <c r="D67"/>
      <c r="I67" s="5" t="s">
        <v>21</v>
      </c>
      <c r="Q67"/>
      <c r="R67"/>
      <c r="S67"/>
      <c r="T67"/>
      <c r="U67"/>
      <c r="V67"/>
    </row>
    <row r="68" spans="17:22" ht="15.75">
      <c r="Q68"/>
      <c r="R68"/>
      <c r="S68"/>
      <c r="T68"/>
      <c r="U68"/>
      <c r="V68"/>
    </row>
    <row r="69" spans="17:22" ht="15.75">
      <c r="Q69"/>
      <c r="R69"/>
      <c r="S69"/>
      <c r="T69"/>
      <c r="U69"/>
      <c r="V69"/>
    </row>
    <row r="70" spans="17:22" ht="15.75">
      <c r="Q70"/>
      <c r="R70"/>
      <c r="S70"/>
      <c r="T70"/>
      <c r="U70"/>
      <c r="V70"/>
    </row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3.5">
      <c r="B96" s="1" t="s">
        <v>22</v>
      </c>
    </row>
    <row r="97" ht="13.5">
      <c r="B97" s="1" t="s">
        <v>23</v>
      </c>
    </row>
    <row r="99" spans="1:2" ht="13.5">
      <c r="A99" s="4" t="s">
        <v>24</v>
      </c>
      <c r="B99" s="5" t="s">
        <v>25</v>
      </c>
    </row>
    <row r="100" ht="13.5">
      <c r="B100" s="1" t="s">
        <v>26</v>
      </c>
    </row>
    <row r="101" ht="13.5">
      <c r="B101" s="1" t="s">
        <v>27</v>
      </c>
    </row>
    <row r="102" ht="15" thickBot="1">
      <c r="B102" s="1" t="s">
        <v>28</v>
      </c>
    </row>
    <row r="103" spans="14:18" ht="15" thickBot="1">
      <c r="N103" s="99"/>
      <c r="O103" s="71"/>
      <c r="P103" s="112" t="s">
        <v>29</v>
      </c>
      <c r="Q103" s="107"/>
      <c r="R103" s="52"/>
    </row>
    <row r="104" spans="2:18" ht="15" thickBot="1">
      <c r="B104" s="99"/>
      <c r="C104" s="71"/>
      <c r="D104" s="112" t="s">
        <v>30</v>
      </c>
      <c r="E104" s="100"/>
      <c r="F104"/>
      <c r="G104" s="106"/>
      <c r="H104" s="107"/>
      <c r="I104" s="112" t="s">
        <v>31</v>
      </c>
      <c r="J104" s="100"/>
      <c r="N104" s="44"/>
      <c r="O104" s="16"/>
      <c r="P104" s="17"/>
      <c r="Q104" s="97" t="s">
        <v>32</v>
      </c>
      <c r="R104" s="102">
        <f>(0.5)*(P2-P5)*(P4)</f>
        <v>2940.0000000000005</v>
      </c>
    </row>
    <row r="105" spans="2:18" ht="15" thickBot="1">
      <c r="B105" s="101"/>
      <c r="C105" s="17"/>
      <c r="D105" s="97" t="s">
        <v>32</v>
      </c>
      <c r="E105" s="102">
        <f>(0.5)*(E32)*(C30-E33)</f>
        <v>900</v>
      </c>
      <c r="F105"/>
      <c r="G105" s="108"/>
      <c r="H105" s="16"/>
      <c r="I105" s="97" t="s">
        <v>32</v>
      </c>
      <c r="J105" s="102">
        <f>(0.5)*(J32)*(H30-J33)</f>
        <v>2400</v>
      </c>
      <c r="N105" s="44"/>
      <c r="O105" s="16"/>
      <c r="P105" s="17"/>
      <c r="Q105" s="97" t="s">
        <v>33</v>
      </c>
      <c r="R105" s="102">
        <f>(0.5)*(P5-P3)*(P4)</f>
        <v>1470.0000000000005</v>
      </c>
    </row>
    <row r="106" spans="2:18" ht="15" thickBot="1">
      <c r="B106" s="44"/>
      <c r="C106" s="16"/>
      <c r="D106" s="97" t="s">
        <v>33</v>
      </c>
      <c r="E106" s="102">
        <f>(0.5)*(E32)*(E33-C31)</f>
        <v>450</v>
      </c>
      <c r="F106"/>
      <c r="G106" s="108"/>
      <c r="H106" s="16"/>
      <c r="I106" s="97" t="s">
        <v>33</v>
      </c>
      <c r="J106" s="102">
        <f>(0.5)*(J32)*(J33-H31)</f>
        <v>1200</v>
      </c>
      <c r="N106" s="44"/>
      <c r="O106" s="16"/>
      <c r="P106" s="17"/>
      <c r="Q106" s="97" t="s">
        <v>34</v>
      </c>
      <c r="R106" s="102">
        <f>SUM(R104:R105)</f>
        <v>4410.000000000001</v>
      </c>
    </row>
    <row r="107" spans="2:18" ht="15" thickBot="1">
      <c r="B107" s="103"/>
      <c r="C107" s="46"/>
      <c r="D107" s="104" t="s">
        <v>34</v>
      </c>
      <c r="E107" s="105">
        <f>SUM(E105:E106)</f>
        <v>1350</v>
      </c>
      <c r="F107"/>
      <c r="G107" s="109"/>
      <c r="H107" s="73"/>
      <c r="I107" s="110" t="s">
        <v>34</v>
      </c>
      <c r="J107" s="111">
        <f>SUM(J105:J106)</f>
        <v>3600</v>
      </c>
      <c r="N107" s="44"/>
      <c r="O107" s="16"/>
      <c r="P107" s="16"/>
      <c r="Q107" s="97" t="s">
        <v>35</v>
      </c>
      <c r="R107" s="102">
        <f>E107+J107</f>
        <v>4950</v>
      </c>
    </row>
    <row r="108" spans="2:18" ht="15" thickBot="1">
      <c r="B108" s="1" t="s">
        <v>36</v>
      </c>
      <c r="N108" s="44"/>
      <c r="O108" s="16"/>
      <c r="P108" s="16"/>
      <c r="Q108" s="16" t="s">
        <v>37</v>
      </c>
      <c r="R108" s="102">
        <f>R107-R106</f>
        <v>539.9999999999991</v>
      </c>
    </row>
    <row r="109" spans="2:18" ht="15" thickBot="1">
      <c r="B109" s="1" t="s">
        <v>38</v>
      </c>
      <c r="N109" s="45"/>
      <c r="O109" s="46"/>
      <c r="P109" s="46"/>
      <c r="Q109" s="46" t="s">
        <v>39</v>
      </c>
      <c r="R109" s="113">
        <f>R108/R107</f>
        <v>0.1090909090909089</v>
      </c>
    </row>
    <row r="110" ht="13.5">
      <c r="B110" s="1" t="s">
        <v>40</v>
      </c>
    </row>
    <row r="111" ht="13.5">
      <c r="B111" s="1" t="s">
        <v>41</v>
      </c>
    </row>
    <row r="112" ht="15" thickBot="1">
      <c r="B112" s="1" t="s">
        <v>42</v>
      </c>
    </row>
    <row r="113" spans="2:11" ht="15" thickBot="1">
      <c r="B113" s="121"/>
      <c r="C113" s="122"/>
      <c r="D113" s="127" t="s">
        <v>43</v>
      </c>
      <c r="E113" s="122"/>
      <c r="F113" s="123"/>
      <c r="G113" s="121"/>
      <c r="H113" s="122"/>
      <c r="I113" s="127" t="s">
        <v>44</v>
      </c>
      <c r="J113" s="122"/>
      <c r="K113" s="123"/>
    </row>
    <row r="114" spans="2:11" ht="13.5">
      <c r="B114" s="132" t="s">
        <v>45</v>
      </c>
      <c r="C114" s="133"/>
      <c r="D114" s="133"/>
      <c r="E114" s="134" t="s">
        <v>46</v>
      </c>
      <c r="F114" s="135">
        <f>E105</f>
        <v>900</v>
      </c>
      <c r="G114" s="132" t="s">
        <v>45</v>
      </c>
      <c r="H114" s="98"/>
      <c r="I114" s="98"/>
      <c r="J114" s="134" t="s">
        <v>46</v>
      </c>
      <c r="K114" s="136">
        <f>J105</f>
        <v>2400</v>
      </c>
    </row>
    <row r="115" spans="2:13" ht="13.5">
      <c r="B115" s="129" t="s">
        <v>47</v>
      </c>
      <c r="C115" s="114"/>
      <c r="D115" s="114"/>
      <c r="E115" s="115" t="s">
        <v>48</v>
      </c>
      <c r="F115" s="117">
        <f>IF(E36&gt;E35,((0.5*(C30-D27)*((D27-C30)/D30))-F114),(E114+(F118-(D27-C31)*(0.5)*((D27-D31)/D31))))</f>
        <v>-416.0000000000003</v>
      </c>
      <c r="G115" s="129" t="s">
        <v>47</v>
      </c>
      <c r="H115" s="77"/>
      <c r="I115" s="77"/>
      <c r="J115" s="115" t="s">
        <v>48</v>
      </c>
      <c r="K115" s="117">
        <f>IF(J35&gt;J36,((H30-D27)*0.5*J35)-K114,0)</f>
        <v>1056</v>
      </c>
      <c r="M115" s="137"/>
    </row>
    <row r="116" spans="2:11" ht="13.5">
      <c r="B116" s="129" t="s">
        <v>49</v>
      </c>
      <c r="C116" s="114"/>
      <c r="D116" s="114"/>
      <c r="E116" s="115" t="s">
        <v>50</v>
      </c>
      <c r="F116" s="117">
        <f>IF(E36&gt;E35,0,((E35-E36)*0.5*(E33-D27)))</f>
        <v>0</v>
      </c>
      <c r="G116" s="129" t="s">
        <v>49</v>
      </c>
      <c r="H116" s="77"/>
      <c r="I116" s="77"/>
      <c r="J116" s="115" t="s">
        <v>50</v>
      </c>
      <c r="K116" s="117">
        <f>IF(J36&gt;J35,0,((J35-J36)*0.5*(J33-D27)))</f>
        <v>287.9999999999997</v>
      </c>
    </row>
    <row r="117" spans="2:11" ht="15" thickBot="1">
      <c r="B117" s="129" t="s">
        <v>51</v>
      </c>
      <c r="C117" s="114"/>
      <c r="D117" s="114"/>
      <c r="E117" s="115" t="s">
        <v>52</v>
      </c>
      <c r="F117" s="116">
        <f>F114+F115</f>
        <v>483.9999999999997</v>
      </c>
      <c r="G117" s="129" t="s">
        <v>51</v>
      </c>
      <c r="H117" s="77"/>
      <c r="I117" s="77"/>
      <c r="J117" s="115" t="s">
        <v>53</v>
      </c>
      <c r="K117" s="128">
        <f>K114+K115+K116</f>
        <v>3743.9999999999995</v>
      </c>
    </row>
    <row r="118" spans="2:11" ht="13.5">
      <c r="B118" s="132" t="s">
        <v>54</v>
      </c>
      <c r="C118" s="133"/>
      <c r="D118" s="133"/>
      <c r="E118" s="134" t="s">
        <v>55</v>
      </c>
      <c r="F118" s="135">
        <f>E106</f>
        <v>450</v>
      </c>
      <c r="G118" s="132" t="s">
        <v>54</v>
      </c>
      <c r="H118" s="98"/>
      <c r="I118" s="98"/>
      <c r="J118" s="134" t="s">
        <v>55</v>
      </c>
      <c r="K118" s="136">
        <f>J106</f>
        <v>1200</v>
      </c>
    </row>
    <row r="119" spans="2:11" ht="13.5">
      <c r="B119" s="129" t="s">
        <v>56</v>
      </c>
      <c r="C119" s="114"/>
      <c r="D119" s="114"/>
      <c r="E119" s="115" t="s">
        <v>57</v>
      </c>
      <c r="F119" s="117">
        <f>IF(F115&lt;0,-F115,F115)</f>
        <v>416.0000000000003</v>
      </c>
      <c r="G119" s="129" t="s">
        <v>56</v>
      </c>
      <c r="H119" s="77"/>
      <c r="I119" s="77"/>
      <c r="J119" s="115" t="s">
        <v>57</v>
      </c>
      <c r="K119" s="117">
        <f>IF(J36&gt;J35,0,-K115)</f>
        <v>-1056</v>
      </c>
    </row>
    <row r="120" spans="2:11" ht="13.5">
      <c r="B120" s="129" t="s">
        <v>58</v>
      </c>
      <c r="C120" s="114"/>
      <c r="D120" s="114"/>
      <c r="E120" s="115" t="s">
        <v>59</v>
      </c>
      <c r="F120" s="116">
        <f>IF(E35&gt;E36,0,((E36-E35)*0.5*(D27-E33)))</f>
        <v>192.00000000000034</v>
      </c>
      <c r="G120" s="129" t="s">
        <v>58</v>
      </c>
      <c r="H120" s="77"/>
      <c r="I120" s="77"/>
      <c r="J120" s="115" t="s">
        <v>59</v>
      </c>
      <c r="K120" s="117">
        <f>IF(J35&gt;J36,0,0)</f>
        <v>0</v>
      </c>
    </row>
    <row r="121" spans="2:11" ht="15" thickBot="1">
      <c r="B121" s="130" t="s">
        <v>60</v>
      </c>
      <c r="C121" s="114"/>
      <c r="D121" s="114"/>
      <c r="E121" s="115" t="s">
        <v>61</v>
      </c>
      <c r="F121" s="116">
        <f>(F118+F119+F120)</f>
        <v>1058.0000000000005</v>
      </c>
      <c r="G121" s="129" t="s">
        <v>60</v>
      </c>
      <c r="H121" s="77"/>
      <c r="I121" s="77"/>
      <c r="J121" s="115" t="s">
        <v>61</v>
      </c>
      <c r="K121" s="128">
        <f>SUM(K118:K120)</f>
        <v>144</v>
      </c>
    </row>
    <row r="122" spans="2:11" ht="15" thickBot="1">
      <c r="B122" s="131" t="s">
        <v>62</v>
      </c>
      <c r="C122" s="124"/>
      <c r="D122" s="124"/>
      <c r="E122" s="125" t="s">
        <v>63</v>
      </c>
      <c r="F122" s="126">
        <f>F114+F118</f>
        <v>1350</v>
      </c>
      <c r="G122" s="131" t="s">
        <v>62</v>
      </c>
      <c r="H122" s="16"/>
      <c r="I122" s="16"/>
      <c r="J122" s="125" t="s">
        <v>63</v>
      </c>
      <c r="K122" s="138">
        <f>K114+K118</f>
        <v>3600</v>
      </c>
    </row>
    <row r="123" spans="2:11" ht="15" thickBot="1">
      <c r="B123" s="131" t="s">
        <v>64</v>
      </c>
      <c r="C123" s="124"/>
      <c r="D123" s="124"/>
      <c r="E123" s="125" t="s">
        <v>65</v>
      </c>
      <c r="F123" s="126">
        <f>F117+F121</f>
        <v>1542.0000000000002</v>
      </c>
      <c r="G123" s="131" t="s">
        <v>64</v>
      </c>
      <c r="H123" s="16"/>
      <c r="I123" s="16"/>
      <c r="J123" s="125" t="s">
        <v>65</v>
      </c>
      <c r="K123" s="102">
        <f>K117+K121</f>
        <v>3887.9999999999995</v>
      </c>
    </row>
    <row r="124" spans="2:11" ht="15" thickBot="1">
      <c r="B124" s="139" t="s">
        <v>66</v>
      </c>
      <c r="C124" s="118"/>
      <c r="D124" s="118"/>
      <c r="E124" s="119" t="s">
        <v>67</v>
      </c>
      <c r="F124" s="120">
        <f>(F123/F122)-1</f>
        <v>0.14222222222222247</v>
      </c>
      <c r="G124" s="139" t="s">
        <v>66</v>
      </c>
      <c r="H124" s="73"/>
      <c r="I124" s="73"/>
      <c r="J124" s="119" t="s">
        <v>67</v>
      </c>
      <c r="K124" s="120">
        <f>(K123-K122)/K122</f>
        <v>0.07999999999999988</v>
      </c>
    </row>
    <row r="125" ht="15" thickBot="1">
      <c r="B125" s="1" t="s">
        <v>68</v>
      </c>
    </row>
    <row r="126" spans="2:9" ht="15" thickBot="1">
      <c r="B126" s="1" t="s">
        <v>69</v>
      </c>
      <c r="C126" s="106"/>
      <c r="D126" s="107"/>
      <c r="E126" s="107"/>
      <c r="F126" s="71"/>
      <c r="G126" s="112" t="s">
        <v>70</v>
      </c>
      <c r="H126" s="112" t="s">
        <v>71</v>
      </c>
      <c r="I126" s="142" t="s">
        <v>72</v>
      </c>
    </row>
    <row r="127" spans="3:9" ht="15" thickBot="1">
      <c r="C127" s="108"/>
      <c r="D127" s="17"/>
      <c r="E127" s="17"/>
      <c r="F127" s="97" t="s">
        <v>63</v>
      </c>
      <c r="G127" s="140">
        <f>F122</f>
        <v>1350</v>
      </c>
      <c r="H127" s="140">
        <f>K122</f>
        <v>3600</v>
      </c>
      <c r="I127" s="126">
        <f>SUM(G127:H127)</f>
        <v>4950</v>
      </c>
    </row>
    <row r="128" spans="3:9" ht="15" thickBot="1">
      <c r="C128" s="108"/>
      <c r="D128" s="17"/>
      <c r="E128" s="17"/>
      <c r="F128" s="97" t="s">
        <v>73</v>
      </c>
      <c r="G128" s="140">
        <f>F123</f>
        <v>1542.0000000000002</v>
      </c>
      <c r="H128" s="140">
        <f>K123</f>
        <v>3887.9999999999995</v>
      </c>
      <c r="I128" s="126">
        <f>SUM(G128:H128)</f>
        <v>5430</v>
      </c>
    </row>
    <row r="129" spans="3:9" ht="15" thickBot="1">
      <c r="C129" s="79"/>
      <c r="D129" s="47"/>
      <c r="E129" s="47"/>
      <c r="F129" s="104" t="s">
        <v>74</v>
      </c>
      <c r="G129" s="46"/>
      <c r="H129" s="46"/>
      <c r="I129" s="141">
        <f>(I128/I127)-1</f>
        <v>0.09696969696969693</v>
      </c>
    </row>
    <row r="131" spans="1:2" ht="13.5">
      <c r="A131" s="4" t="s">
        <v>75</v>
      </c>
      <c r="B131" s="5" t="s">
        <v>76</v>
      </c>
    </row>
    <row r="132" ht="13.5">
      <c r="B132" s="5" t="s">
        <v>77</v>
      </c>
    </row>
    <row r="133" ht="13.5">
      <c r="B133" s="1" t="s">
        <v>78</v>
      </c>
    </row>
    <row r="134" ht="13.5">
      <c r="B134" s="1" t="s">
        <v>79</v>
      </c>
    </row>
    <row r="135" ht="13.5">
      <c r="B135" s="1" t="s">
        <v>80</v>
      </c>
    </row>
    <row r="136" ht="15" thickBot="1"/>
    <row r="137" spans="2:8" ht="15" thickBot="1">
      <c r="B137" s="28"/>
      <c r="C137" s="27" t="s">
        <v>11</v>
      </c>
      <c r="D137" s="7"/>
      <c r="E137" s="9"/>
      <c r="F137" s="145"/>
      <c r="G137" s="150" t="s">
        <v>81</v>
      </c>
      <c r="H137" s="152">
        <v>0.15</v>
      </c>
    </row>
    <row r="138" spans="2:10" ht="15" thickBot="1">
      <c r="B138" s="85" t="s">
        <v>96</v>
      </c>
      <c r="C138" s="86">
        <v>400</v>
      </c>
      <c r="D138" s="86">
        <v>-12</v>
      </c>
      <c r="E138" s="90" t="s">
        <v>97</v>
      </c>
      <c r="F138" s="153"/>
      <c r="G138" s="154" t="s">
        <v>82</v>
      </c>
      <c r="H138" s="155">
        <f>(E147-F147)/F147</f>
        <v>0.4285714285714282</v>
      </c>
      <c r="I138" s="30" t="s">
        <v>83</v>
      </c>
      <c r="J138"/>
    </row>
    <row r="139" spans="2:9" ht="15" thickBot="1">
      <c r="B139" s="87" t="s">
        <v>104</v>
      </c>
      <c r="C139" s="88">
        <v>40</v>
      </c>
      <c r="D139" s="89">
        <f>6</f>
        <v>6</v>
      </c>
      <c r="E139" s="91" t="s">
        <v>105</v>
      </c>
      <c r="F139" s="145"/>
      <c r="G139" s="150" t="s">
        <v>84</v>
      </c>
      <c r="H139" s="152">
        <f>(E145-F145)/E145</f>
        <v>0.3500000000000001</v>
      </c>
      <c r="I139" s="30" t="s">
        <v>85</v>
      </c>
    </row>
    <row r="140" spans="2:6" ht="15" thickBot="1">
      <c r="B140" s="78"/>
      <c r="C140" s="41"/>
      <c r="D140" s="40" t="s">
        <v>12</v>
      </c>
      <c r="E140" s="43">
        <f>(C138-C139)/(-D138+D139)</f>
        <v>20</v>
      </c>
      <c r="F140"/>
    </row>
    <row r="141" spans="2:10" ht="15" thickBot="1">
      <c r="B141" s="29"/>
      <c r="C141" s="17"/>
      <c r="D141" s="38" t="s">
        <v>13</v>
      </c>
      <c r="E141" s="143">
        <f>C138+D138*E140</f>
        <v>160</v>
      </c>
      <c r="F141"/>
      <c r="J141" s="4" t="s">
        <v>86</v>
      </c>
    </row>
    <row r="142" spans="2:6" ht="15" thickBot="1">
      <c r="B142" s="79"/>
      <c r="C142" s="47"/>
      <c r="D142" s="48" t="s">
        <v>14</v>
      </c>
      <c r="E142" s="144">
        <f>E140*E141</f>
        <v>3200</v>
      </c>
      <c r="F142" s="151" t="s">
        <v>87</v>
      </c>
    </row>
    <row r="143" spans="2:6" ht="13.5">
      <c r="B143" s="80"/>
      <c r="C143" s="76"/>
      <c r="D143" s="15" t="s">
        <v>15</v>
      </c>
      <c r="E143" s="83">
        <f>(D27-C138)/D138</f>
        <v>24</v>
      </c>
      <c r="F143" s="82">
        <f>(G147-C138)/D138</f>
        <v>22.599999999999998</v>
      </c>
    </row>
    <row r="144" spans="2:6" ht="13.5">
      <c r="B144" s="80"/>
      <c r="C144" s="76"/>
      <c r="D144" s="15" t="s">
        <v>16</v>
      </c>
      <c r="E144" s="83">
        <f>(D27-C139)/D139</f>
        <v>12.000000000000005</v>
      </c>
      <c r="F144" s="82">
        <f>(G147-C139)/D139</f>
        <v>14.800000000000002</v>
      </c>
    </row>
    <row r="145" spans="2:10" ht="15" thickBot="1">
      <c r="B145" s="80"/>
      <c r="C145" s="76"/>
      <c r="D145" s="15" t="str">
        <f>IF(E144&gt;E143,"Surplus =","Shortage =")</f>
        <v>Shortage =</v>
      </c>
      <c r="E145" s="84">
        <f>ABS(E143-E144)</f>
        <v>11.999999999999995</v>
      </c>
      <c r="F145" s="82">
        <f>F143-F144</f>
        <v>7.799999999999995</v>
      </c>
      <c r="J145"/>
    </row>
    <row r="146" spans="2:10" ht="15" thickBot="1">
      <c r="B146" s="49" t="s">
        <v>116</v>
      </c>
      <c r="C146" s="50" t="s">
        <v>117</v>
      </c>
      <c r="D146" s="50" t="s">
        <v>17</v>
      </c>
      <c r="E146" s="94" t="s">
        <v>18</v>
      </c>
      <c r="F146" s="50" t="s">
        <v>19</v>
      </c>
      <c r="G146" s="146" t="s">
        <v>88</v>
      </c>
      <c r="J146"/>
    </row>
    <row r="147" spans="2:7" ht="13.5">
      <c r="B147" s="32">
        <v>0</v>
      </c>
      <c r="C147" s="35">
        <f aca="true" t="shared" si="15" ref="C147:C162">$H$30+$I$30*B147</f>
        <v>400</v>
      </c>
      <c r="D147" s="35">
        <f aca="true" t="shared" si="16" ref="D147:D162">$H$31+$I$31*B147</f>
        <v>40</v>
      </c>
      <c r="E147" s="26">
        <f aca="true" t="shared" si="17" ref="E147:E172">$J$33</f>
        <v>160</v>
      </c>
      <c r="F147" s="35">
        <f aca="true" t="shared" si="18" ref="F147:F172">$D$27</f>
        <v>112.00000000000003</v>
      </c>
      <c r="G147" s="147">
        <f aca="true" t="shared" si="19" ref="G147:G172">F147*(1+$H$137)</f>
        <v>128.8</v>
      </c>
    </row>
    <row r="148" spans="2:7" ht="13.5">
      <c r="B148" s="33">
        <v>1</v>
      </c>
      <c r="C148" s="36">
        <f t="shared" si="15"/>
        <v>388</v>
      </c>
      <c r="D148" s="36">
        <f t="shared" si="16"/>
        <v>46</v>
      </c>
      <c r="E148" s="26">
        <f t="shared" si="17"/>
        <v>160</v>
      </c>
      <c r="F148" s="36">
        <f t="shared" si="18"/>
        <v>112.00000000000003</v>
      </c>
      <c r="G148" s="148">
        <f t="shared" si="19"/>
        <v>128.8</v>
      </c>
    </row>
    <row r="149" spans="2:7" ht="13.5">
      <c r="B149" s="33">
        <v>2</v>
      </c>
      <c r="C149" s="36">
        <f t="shared" si="15"/>
        <v>376</v>
      </c>
      <c r="D149" s="36">
        <f t="shared" si="16"/>
        <v>52</v>
      </c>
      <c r="E149" s="26">
        <f t="shared" si="17"/>
        <v>160</v>
      </c>
      <c r="F149" s="36">
        <f t="shared" si="18"/>
        <v>112.00000000000003</v>
      </c>
      <c r="G149" s="148">
        <f t="shared" si="19"/>
        <v>128.8</v>
      </c>
    </row>
    <row r="150" spans="2:7" ht="13.5">
      <c r="B150" s="33">
        <v>3</v>
      </c>
      <c r="C150" s="36">
        <f t="shared" si="15"/>
        <v>364</v>
      </c>
      <c r="D150" s="36">
        <f t="shared" si="16"/>
        <v>58</v>
      </c>
      <c r="E150" s="26">
        <f t="shared" si="17"/>
        <v>160</v>
      </c>
      <c r="F150" s="36">
        <f t="shared" si="18"/>
        <v>112.00000000000003</v>
      </c>
      <c r="G150" s="148">
        <f t="shared" si="19"/>
        <v>128.8</v>
      </c>
    </row>
    <row r="151" spans="2:7" ht="13.5">
      <c r="B151" s="33">
        <v>4</v>
      </c>
      <c r="C151" s="36">
        <f t="shared" si="15"/>
        <v>352</v>
      </c>
      <c r="D151" s="36">
        <f t="shared" si="16"/>
        <v>64</v>
      </c>
      <c r="E151" s="26">
        <f t="shared" si="17"/>
        <v>160</v>
      </c>
      <c r="F151" s="36">
        <f t="shared" si="18"/>
        <v>112.00000000000003</v>
      </c>
      <c r="G151" s="148">
        <f t="shared" si="19"/>
        <v>128.8</v>
      </c>
    </row>
    <row r="152" spans="2:7" ht="13.5">
      <c r="B152" s="33">
        <v>5</v>
      </c>
      <c r="C152" s="36">
        <f t="shared" si="15"/>
        <v>340</v>
      </c>
      <c r="D152" s="36">
        <f t="shared" si="16"/>
        <v>70</v>
      </c>
      <c r="E152" s="26">
        <f t="shared" si="17"/>
        <v>160</v>
      </c>
      <c r="F152" s="36">
        <f t="shared" si="18"/>
        <v>112.00000000000003</v>
      </c>
      <c r="G152" s="148">
        <f t="shared" si="19"/>
        <v>128.8</v>
      </c>
    </row>
    <row r="153" spans="2:7" ht="13.5">
      <c r="B153" s="33">
        <v>6</v>
      </c>
      <c r="C153" s="36">
        <f t="shared" si="15"/>
        <v>328</v>
      </c>
      <c r="D153" s="36">
        <f t="shared" si="16"/>
        <v>76</v>
      </c>
      <c r="E153" s="26">
        <f t="shared" si="17"/>
        <v>160</v>
      </c>
      <c r="F153" s="36">
        <f t="shared" si="18"/>
        <v>112.00000000000003</v>
      </c>
      <c r="G153" s="148">
        <f t="shared" si="19"/>
        <v>128.8</v>
      </c>
    </row>
    <row r="154" spans="2:7" ht="13.5">
      <c r="B154" s="33">
        <v>7</v>
      </c>
      <c r="C154" s="36">
        <f t="shared" si="15"/>
        <v>316</v>
      </c>
      <c r="D154" s="36">
        <f t="shared" si="16"/>
        <v>82</v>
      </c>
      <c r="E154" s="26">
        <f t="shared" si="17"/>
        <v>160</v>
      </c>
      <c r="F154" s="36">
        <f t="shared" si="18"/>
        <v>112.00000000000003</v>
      </c>
      <c r="G154" s="148">
        <f t="shared" si="19"/>
        <v>128.8</v>
      </c>
    </row>
    <row r="155" spans="2:7" ht="13.5">
      <c r="B155" s="33">
        <v>8</v>
      </c>
      <c r="C155" s="36">
        <f t="shared" si="15"/>
        <v>304</v>
      </c>
      <c r="D155" s="36">
        <f t="shared" si="16"/>
        <v>88</v>
      </c>
      <c r="E155" s="26">
        <f t="shared" si="17"/>
        <v>160</v>
      </c>
      <c r="F155" s="36">
        <f t="shared" si="18"/>
        <v>112.00000000000003</v>
      </c>
      <c r="G155" s="148">
        <f t="shared" si="19"/>
        <v>128.8</v>
      </c>
    </row>
    <row r="156" spans="2:7" ht="13.5">
      <c r="B156" s="33">
        <v>9</v>
      </c>
      <c r="C156" s="36">
        <f t="shared" si="15"/>
        <v>292</v>
      </c>
      <c r="D156" s="36">
        <f t="shared" si="16"/>
        <v>94</v>
      </c>
      <c r="E156" s="26">
        <f t="shared" si="17"/>
        <v>160</v>
      </c>
      <c r="F156" s="36">
        <f t="shared" si="18"/>
        <v>112.00000000000003</v>
      </c>
      <c r="G156" s="148">
        <f t="shared" si="19"/>
        <v>128.8</v>
      </c>
    </row>
    <row r="157" spans="2:7" ht="13.5">
      <c r="B157" s="33">
        <v>10</v>
      </c>
      <c r="C157" s="36">
        <f t="shared" si="15"/>
        <v>280</v>
      </c>
      <c r="D157" s="36">
        <f t="shared" si="16"/>
        <v>100</v>
      </c>
      <c r="E157" s="26">
        <f t="shared" si="17"/>
        <v>160</v>
      </c>
      <c r="F157" s="36">
        <f t="shared" si="18"/>
        <v>112.00000000000003</v>
      </c>
      <c r="G157" s="148">
        <f t="shared" si="19"/>
        <v>128.8</v>
      </c>
    </row>
    <row r="158" spans="2:7" ht="13.5">
      <c r="B158" s="33">
        <v>11</v>
      </c>
      <c r="C158" s="36">
        <f t="shared" si="15"/>
        <v>268</v>
      </c>
      <c r="D158" s="36">
        <f t="shared" si="16"/>
        <v>106</v>
      </c>
      <c r="E158" s="26">
        <f t="shared" si="17"/>
        <v>160</v>
      </c>
      <c r="F158" s="36">
        <f t="shared" si="18"/>
        <v>112.00000000000003</v>
      </c>
      <c r="G158" s="148">
        <f t="shared" si="19"/>
        <v>128.8</v>
      </c>
    </row>
    <row r="159" spans="2:7" ht="13.5">
      <c r="B159" s="33">
        <v>12</v>
      </c>
      <c r="C159" s="36">
        <f t="shared" si="15"/>
        <v>256</v>
      </c>
      <c r="D159" s="36">
        <f t="shared" si="16"/>
        <v>112</v>
      </c>
      <c r="E159" s="26">
        <f t="shared" si="17"/>
        <v>160</v>
      </c>
      <c r="F159" s="36">
        <f t="shared" si="18"/>
        <v>112.00000000000003</v>
      </c>
      <c r="G159" s="148">
        <f t="shared" si="19"/>
        <v>128.8</v>
      </c>
    </row>
    <row r="160" spans="2:7" ht="13.5">
      <c r="B160" s="33">
        <v>13</v>
      </c>
      <c r="C160" s="36">
        <f t="shared" si="15"/>
        <v>244</v>
      </c>
      <c r="D160" s="36">
        <f t="shared" si="16"/>
        <v>118</v>
      </c>
      <c r="E160" s="26">
        <f t="shared" si="17"/>
        <v>160</v>
      </c>
      <c r="F160" s="36">
        <f t="shared" si="18"/>
        <v>112.00000000000003</v>
      </c>
      <c r="G160" s="148">
        <f t="shared" si="19"/>
        <v>128.8</v>
      </c>
    </row>
    <row r="161" spans="2:7" ht="13.5">
      <c r="B161" s="33">
        <v>14</v>
      </c>
      <c r="C161" s="36">
        <f t="shared" si="15"/>
        <v>232</v>
      </c>
      <c r="D161" s="36">
        <f t="shared" si="16"/>
        <v>124</v>
      </c>
      <c r="E161" s="26">
        <f t="shared" si="17"/>
        <v>160</v>
      </c>
      <c r="F161" s="36">
        <f t="shared" si="18"/>
        <v>112.00000000000003</v>
      </c>
      <c r="G161" s="148">
        <f t="shared" si="19"/>
        <v>128.8</v>
      </c>
    </row>
    <row r="162" spans="2:7" ht="13.5">
      <c r="B162" s="33">
        <v>15</v>
      </c>
      <c r="C162" s="36">
        <f t="shared" si="15"/>
        <v>220</v>
      </c>
      <c r="D162" s="36">
        <f t="shared" si="16"/>
        <v>130</v>
      </c>
      <c r="E162" s="26">
        <f t="shared" si="17"/>
        <v>160</v>
      </c>
      <c r="F162" s="36">
        <f t="shared" si="18"/>
        <v>112.00000000000003</v>
      </c>
      <c r="G162" s="148">
        <f t="shared" si="19"/>
        <v>128.8</v>
      </c>
    </row>
    <row r="163" spans="2:7" ht="13.5">
      <c r="B163" s="33">
        <v>16</v>
      </c>
      <c r="C163" s="36">
        <f aca="true" t="shared" si="20" ref="C163:C172">$H$30+$I$30*B163</f>
        <v>208</v>
      </c>
      <c r="D163" s="36">
        <f aca="true" t="shared" si="21" ref="D163:D172">$H$31+$I$31*B163</f>
        <v>136</v>
      </c>
      <c r="E163" s="26">
        <f t="shared" si="17"/>
        <v>160</v>
      </c>
      <c r="F163" s="36">
        <f t="shared" si="18"/>
        <v>112.00000000000003</v>
      </c>
      <c r="G163" s="148">
        <f t="shared" si="19"/>
        <v>128.8</v>
      </c>
    </row>
    <row r="164" spans="2:7" ht="13.5">
      <c r="B164" s="33">
        <v>17</v>
      </c>
      <c r="C164" s="36">
        <f t="shared" si="20"/>
        <v>196</v>
      </c>
      <c r="D164" s="36">
        <f t="shared" si="21"/>
        <v>142</v>
      </c>
      <c r="E164" s="26">
        <f t="shared" si="17"/>
        <v>160</v>
      </c>
      <c r="F164" s="36">
        <f t="shared" si="18"/>
        <v>112.00000000000003</v>
      </c>
      <c r="G164" s="148">
        <f t="shared" si="19"/>
        <v>128.8</v>
      </c>
    </row>
    <row r="165" spans="2:7" ht="13.5">
      <c r="B165" s="33">
        <v>18</v>
      </c>
      <c r="C165" s="36">
        <f t="shared" si="20"/>
        <v>184</v>
      </c>
      <c r="D165" s="36">
        <f t="shared" si="21"/>
        <v>148</v>
      </c>
      <c r="E165" s="26">
        <f t="shared" si="17"/>
        <v>160</v>
      </c>
      <c r="F165" s="36">
        <f t="shared" si="18"/>
        <v>112.00000000000003</v>
      </c>
      <c r="G165" s="148">
        <f t="shared" si="19"/>
        <v>128.8</v>
      </c>
    </row>
    <row r="166" spans="2:7" ht="13.5">
      <c r="B166" s="33">
        <v>19</v>
      </c>
      <c r="C166" s="36">
        <f t="shared" si="20"/>
        <v>172</v>
      </c>
      <c r="D166" s="36">
        <f t="shared" si="21"/>
        <v>154</v>
      </c>
      <c r="E166" s="26">
        <f t="shared" si="17"/>
        <v>160</v>
      </c>
      <c r="F166" s="36">
        <f t="shared" si="18"/>
        <v>112.00000000000003</v>
      </c>
      <c r="G166" s="148">
        <f t="shared" si="19"/>
        <v>128.8</v>
      </c>
    </row>
    <row r="167" spans="2:7" ht="13.5">
      <c r="B167" s="33">
        <v>20</v>
      </c>
      <c r="C167" s="36">
        <f t="shared" si="20"/>
        <v>160</v>
      </c>
      <c r="D167" s="36">
        <f t="shared" si="21"/>
        <v>160</v>
      </c>
      <c r="E167" s="26">
        <f t="shared" si="17"/>
        <v>160</v>
      </c>
      <c r="F167" s="36">
        <f t="shared" si="18"/>
        <v>112.00000000000003</v>
      </c>
      <c r="G167" s="148">
        <f t="shared" si="19"/>
        <v>128.8</v>
      </c>
    </row>
    <row r="168" spans="2:7" ht="13.5">
      <c r="B168" s="33">
        <v>21</v>
      </c>
      <c r="C168" s="36">
        <f t="shared" si="20"/>
        <v>148</v>
      </c>
      <c r="D168" s="36">
        <f t="shared" si="21"/>
        <v>166</v>
      </c>
      <c r="E168" s="26">
        <f t="shared" si="17"/>
        <v>160</v>
      </c>
      <c r="F168" s="36">
        <f t="shared" si="18"/>
        <v>112.00000000000003</v>
      </c>
      <c r="G168" s="148">
        <f t="shared" si="19"/>
        <v>128.8</v>
      </c>
    </row>
    <row r="169" spans="2:7" ht="13.5">
      <c r="B169" s="33">
        <v>22</v>
      </c>
      <c r="C169" s="36">
        <f t="shared" si="20"/>
        <v>136</v>
      </c>
      <c r="D169" s="36">
        <f t="shared" si="21"/>
        <v>172</v>
      </c>
      <c r="E169" s="26">
        <f t="shared" si="17"/>
        <v>160</v>
      </c>
      <c r="F169" s="36">
        <f t="shared" si="18"/>
        <v>112.00000000000003</v>
      </c>
      <c r="G169" s="148">
        <f t="shared" si="19"/>
        <v>128.8</v>
      </c>
    </row>
    <row r="170" spans="2:7" ht="13.5">
      <c r="B170" s="33">
        <v>23</v>
      </c>
      <c r="C170" s="36">
        <f t="shared" si="20"/>
        <v>124</v>
      </c>
      <c r="D170" s="36">
        <f t="shared" si="21"/>
        <v>178</v>
      </c>
      <c r="E170" s="26">
        <f t="shared" si="17"/>
        <v>160</v>
      </c>
      <c r="F170" s="36">
        <f t="shared" si="18"/>
        <v>112.00000000000003</v>
      </c>
      <c r="G170" s="148">
        <f t="shared" si="19"/>
        <v>128.8</v>
      </c>
    </row>
    <row r="171" spans="2:7" ht="13.5">
      <c r="B171" s="33">
        <v>24</v>
      </c>
      <c r="C171" s="36">
        <f t="shared" si="20"/>
        <v>112</v>
      </c>
      <c r="D171" s="36">
        <f t="shared" si="21"/>
        <v>184</v>
      </c>
      <c r="E171" s="26">
        <f t="shared" si="17"/>
        <v>160</v>
      </c>
      <c r="F171" s="36">
        <f t="shared" si="18"/>
        <v>112.00000000000003</v>
      </c>
      <c r="G171" s="148">
        <f t="shared" si="19"/>
        <v>128.8</v>
      </c>
    </row>
    <row r="172" spans="2:7" ht="15" thickBot="1">
      <c r="B172" s="34">
        <v>25</v>
      </c>
      <c r="C172" s="37">
        <f t="shared" si="20"/>
        <v>100</v>
      </c>
      <c r="D172" s="37">
        <f t="shared" si="21"/>
        <v>190</v>
      </c>
      <c r="E172" s="95">
        <f t="shared" si="17"/>
        <v>160</v>
      </c>
      <c r="F172" s="37">
        <f t="shared" si="18"/>
        <v>112.00000000000003</v>
      </c>
      <c r="G172" s="149">
        <f t="shared" si="19"/>
        <v>128.8</v>
      </c>
    </row>
  </sheetData>
  <printOptions/>
  <pageMargins left="0.3" right="0.3" top="1" bottom="1" header="0.5" footer="0.5"/>
  <pageSetup orientation="portrait" paperSize="9" scale="75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dcterms:created xsi:type="dcterms:W3CDTF">1999-12-06T20:47:00Z</dcterms:created>
  <cp:category/>
  <cp:version/>
  <cp:contentType/>
  <cp:contentStatus/>
</cp:coreProperties>
</file>