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40" windowWidth="17980" windowHeight="13300" tabRatio="246" activeTab="0"/>
  </bookViews>
  <sheets>
    <sheet name="Am Djena Eval.prê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<sst xmlns="http://schemas.openxmlformats.org/spreadsheetml/2006/main" count="29" uniqueCount="29">
  <si>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Am Djena Project Finance Solution Tableau</t>
  </si>
  <si>
    <t>Year</t>
  </si>
  <si>
    <t>Operating Expenditures</t>
  </si>
  <si>
    <t>Production Expenditures</t>
  </si>
  <si>
    <t>Annual Loan Payment</t>
  </si>
  <si>
    <t>Total Costs:</t>
  </si>
  <si>
    <t>Benefits:</t>
  </si>
  <si>
    <t>Annual Net Benefits (Cash Flow):</t>
  </si>
  <si>
    <t>Present Worth Coefficients:</t>
  </si>
  <si>
    <t>Project Evaluation:</t>
  </si>
  <si>
    <t>Discounted Annual Costs:</t>
  </si>
  <si>
    <t>Discounted Annual Benefits:</t>
  </si>
  <si>
    <t>Discounted Annual Cash Flows:</t>
  </si>
  <si>
    <t>Undiscounted Annual Net Benefits (Cash Flows):</t>
  </si>
  <si>
    <t>Present Value of Costs:</t>
  </si>
  <si>
    <t>Present Value of Benefits:</t>
  </si>
  <si>
    <t>Net Present Value:</t>
  </si>
  <si>
    <t>Benefit-Cost Ratio:</t>
  </si>
  <si>
    <t>Internal Rate of Return:</t>
  </si>
  <si>
    <t>Lending Share of Initial Costs:</t>
  </si>
  <si>
    <t>Amount of Loan:</t>
  </si>
  <si>
    <t>Project Loan Interest Rate:</t>
  </si>
  <si>
    <t>Loan Repayment Time Horizon:</t>
  </si>
  <si>
    <t xml:space="preserve"> = Disc.Rate</t>
  </si>
  <si>
    <t>Loan Periodic Payment (PMT):</t>
  </si>
  <si>
    <t xml:space="preserve"> = Discount Rate</t>
  </si>
  <si>
    <r>
      <t>Costs</t>
    </r>
    <r>
      <rPr>
        <sz val="12"/>
        <rFont val="Helv"/>
        <family val="0"/>
      </rPr>
      <t>:                                  Capital Expenditures</t>
    </r>
  </si>
  <si>
    <t>Total Loan Payment:</t>
  </si>
  <si>
    <t>Cumulative Interest Paid: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</si>
</sst>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0000"/>
    <numFmt numFmtId="167" formatCode="0.00000000"/>
    <numFmt numFmtId="168" formatCode="0_);[Red]\(0\)"/>
    <numFmt numFmtId="169" formatCode="#,##0.00;[Red]\(#,##0.0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5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169" fontId="6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Am Djena Project Financing Solutions</a:t>
            </a:r>
          </a:p>
        </c:rich>
      </c:tx>
      <c:layout>
        <c:manualLayout>
          <c:xMode val="factor"/>
          <c:yMode val="factor"/>
          <c:x val="0.05225"/>
          <c:y val="-0.006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75"/>
          <c:y val="0.10425"/>
          <c:w val="0.971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 Djena Eval.prêt'!$B$17</c:f>
              <c:strCache>
                <c:ptCount val="1"/>
                <c:pt idx="0">
                  <c:v>Undiscounted Annual Net Benefits (Cash Flows):</c:v>
                </c:pt>
              </c:strCache>
            </c:strRef>
          </c:tx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'Am Djena Eval.prêt'!$C$17:$H$17</c:f>
              <c:numCache>
                <c:ptCount val="6"/>
                <c:pt idx="0">
                  <c:v>-5952500</c:v>
                </c:pt>
                <c:pt idx="1">
                  <c:v>-1205742.3852167353</c:v>
                </c:pt>
                <c:pt idx="2">
                  <c:v>-1205742.3852167353</c:v>
                </c:pt>
                <c:pt idx="3">
                  <c:v>2650507.6147832666</c:v>
                </c:pt>
                <c:pt idx="4">
                  <c:v>3400507.6147832666</c:v>
                </c:pt>
                <c:pt idx="5">
                  <c:v>4138007.6147832666</c:v>
                </c:pt>
              </c:numCache>
            </c:numRef>
          </c:val>
        </c:ser>
        <c:ser>
          <c:idx val="1"/>
          <c:order val="1"/>
          <c:tx>
            <c:strRef>
              <c:f>'Am Djena Eval.prêt'!$B$18</c:f>
              <c:strCache>
                <c:ptCount val="1"/>
                <c:pt idx="0">
                  <c:v>Discounted Annual Cash Flows:</c:v>
                </c:pt>
              </c:strCache>
            </c:strRef>
          </c:tx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'Am Djena Eval.prêt'!$C$18:$H$18</c:f>
              <c:numCache>
                <c:ptCount val="6"/>
                <c:pt idx="0">
                  <c:v>-5952500</c:v>
                </c:pt>
                <c:pt idx="1">
                  <c:v>-1061130.895469306</c:v>
                </c:pt>
                <c:pt idx="2">
                  <c:v>-933863.4779079165</c:v>
                </c:pt>
                <c:pt idx="3">
                  <c:v>1806643.0351426378</c:v>
                </c:pt>
                <c:pt idx="4">
                  <c:v>2039865.243225284</c:v>
                </c:pt>
                <c:pt idx="5">
                  <c:v>2184557.31543635</c:v>
                </c:pt>
              </c:numCache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auto val="0"/>
        <c:lblOffset val="100"/>
        <c:noMultiLvlLbl val="0"/>
      </c:catAx>
      <c:valAx>
        <c:axId val="8331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5189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3175"/>
          <c:y val="0.90625"/>
          <c:w val="0.9285"/>
          <c:h val="0.048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9525</xdr:rowOff>
    </xdr:from>
    <xdr:to>
      <xdr:col>8</xdr:col>
      <xdr:colOff>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4181475" y="3648075"/>
        <a:ext cx="4667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4"/>
  <sheetViews>
    <sheetView tabSelected="1" zoomScale="90" zoomScaleNormal="90" workbookViewId="0" topLeftCell="A1">
      <selection activeCell="A5" sqref="A5"/>
    </sheetView>
  </sheetViews>
  <sheetFormatPr defaultColWidth="11.00390625" defaultRowHeight="12" customHeight="1"/>
  <cols>
    <col min="1" max="1" width="3.75390625" style="1" customWidth="1"/>
    <col min="2" max="2" width="38.875" style="1" customWidth="1"/>
    <col min="3" max="8" width="12.25390625" style="1" customWidth="1"/>
    <col min="9" max="12" width="3.625" style="1" customWidth="1"/>
    <col min="13" max="13" width="4.75390625" style="1" customWidth="1"/>
    <col min="14" max="19" width="0.2421875" style="25" customWidth="1"/>
    <col min="20" max="21" width="5.75390625" style="1" customWidth="1"/>
    <col min="22" max="16384" width="10.75390625" style="1" customWidth="1"/>
  </cols>
  <sheetData>
    <row r="1" ht="6" customHeight="1" thickBot="1"/>
    <row r="2" spans="3:19" s="2" customFormat="1" ht="16.5" customHeight="1" thickBot="1">
      <c r="C2" s="13"/>
      <c r="D2" s="14"/>
      <c r="E2" s="15" t="s">
        <v>0</v>
      </c>
      <c r="F2" s="14"/>
      <c r="G2" s="14"/>
      <c r="H2" s="16"/>
      <c r="N2" s="24"/>
      <c r="O2" s="24"/>
      <c r="P2" s="24"/>
      <c r="Q2" s="24"/>
      <c r="R2" s="24"/>
      <c r="S2" s="24"/>
    </row>
    <row r="3" spans="14:19" s="2" customFormat="1" ht="16.5" customHeight="1">
      <c r="N3" s="24"/>
      <c r="O3" s="24"/>
      <c r="P3" s="24"/>
      <c r="Q3" s="24"/>
      <c r="R3" s="24"/>
      <c r="S3" s="24"/>
    </row>
    <row r="4" spans="2:19" s="2" customFormat="1" ht="16.5" customHeight="1" thickBot="1">
      <c r="B4" s="4" t="s">
        <v>1</v>
      </c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N4" s="24"/>
      <c r="O4" s="24"/>
      <c r="P4" s="24"/>
      <c r="Q4" s="24"/>
      <c r="R4" s="24"/>
      <c r="S4" s="24"/>
    </row>
    <row r="5" spans="2:19" s="2" customFormat="1" ht="16.5" customHeight="1">
      <c r="B5" s="4" t="s">
        <v>26</v>
      </c>
      <c r="C5" s="30">
        <v>3200000</v>
      </c>
      <c r="D5" s="30">
        <v>0</v>
      </c>
      <c r="E5" s="30">
        <v>0</v>
      </c>
      <c r="F5" s="30">
        <v>750000</v>
      </c>
      <c r="G5" s="30">
        <v>0</v>
      </c>
      <c r="H5" s="30">
        <v>50000</v>
      </c>
      <c r="N5" s="24"/>
      <c r="O5" s="24"/>
      <c r="P5" s="24"/>
      <c r="Q5" s="24"/>
      <c r="R5" s="24"/>
      <c r="S5" s="24"/>
    </row>
    <row r="6" spans="2:19" s="2" customFormat="1" ht="16.5" customHeight="1">
      <c r="B6" s="6" t="s">
        <v>2</v>
      </c>
      <c r="C6" s="31">
        <v>16752500</v>
      </c>
      <c r="D6" s="31">
        <v>14652500</v>
      </c>
      <c r="E6" s="31">
        <v>14652500</v>
      </c>
      <c r="F6" s="31">
        <v>10046250</v>
      </c>
      <c r="G6" s="31">
        <v>10046250</v>
      </c>
      <c r="H6" s="31">
        <v>9258750</v>
      </c>
      <c r="N6" s="24"/>
      <c r="O6" s="24"/>
      <c r="P6" s="24"/>
      <c r="Q6" s="24"/>
      <c r="R6" s="24"/>
      <c r="S6" s="24"/>
    </row>
    <row r="7" spans="2:19" s="2" customFormat="1" ht="16.5" customHeight="1">
      <c r="B7" s="6" t="s">
        <v>3</v>
      </c>
      <c r="C7" s="31">
        <v>4000000</v>
      </c>
      <c r="D7" s="31">
        <v>4000000</v>
      </c>
      <c r="E7" s="31">
        <v>4000000</v>
      </c>
      <c r="F7" s="31">
        <v>4000000</v>
      </c>
      <c r="G7" s="31">
        <v>4000000</v>
      </c>
      <c r="H7" s="31">
        <v>4000000</v>
      </c>
      <c r="N7" s="24"/>
      <c r="O7" s="24"/>
      <c r="P7" s="24"/>
      <c r="Q7" s="24"/>
      <c r="R7" s="24"/>
      <c r="S7" s="24"/>
    </row>
    <row r="8" spans="2:19" s="2" customFormat="1" ht="16.5" customHeight="1">
      <c r="B8" s="4" t="s">
        <v>4</v>
      </c>
      <c r="C8" s="31"/>
      <c r="D8" s="31">
        <f>IF(D4&lt;=$C$27,$C$28,0)</f>
        <v>553242.3852167341</v>
      </c>
      <c r="E8" s="31">
        <f>IF(E4&lt;=$C$27,$C$28,0)</f>
        <v>553242.3852167341</v>
      </c>
      <c r="F8" s="31">
        <f>IF(F4&lt;=$C$27,$C$28,0)</f>
        <v>553242.3852167341</v>
      </c>
      <c r="G8" s="31">
        <f>IF(G4&lt;=$C$27,$C$28,0)</f>
        <v>553242.3852167341</v>
      </c>
      <c r="H8" s="31">
        <f>IF(H4&lt;=$C$27,$C$28,0)</f>
        <v>553242.3852167341</v>
      </c>
      <c r="I8" s="7"/>
      <c r="J8" s="7"/>
      <c r="K8" s="7"/>
      <c r="L8" s="7"/>
      <c r="N8" s="24"/>
      <c r="O8" s="24"/>
      <c r="P8" s="24"/>
      <c r="Q8" s="24"/>
      <c r="R8" s="24"/>
      <c r="S8" s="24"/>
    </row>
    <row r="9" spans="2:19" s="2" customFormat="1" ht="16.5" customHeight="1" thickBot="1">
      <c r="B9" s="5" t="s">
        <v>5</v>
      </c>
      <c r="C9" s="32">
        <f aca="true" t="shared" si="0" ref="C9:H9">SUM(C5:C8)</f>
        <v>23952500</v>
      </c>
      <c r="D9" s="32">
        <f t="shared" si="0"/>
        <v>19205742.385216735</v>
      </c>
      <c r="E9" s="32">
        <f t="shared" si="0"/>
        <v>19205742.385216735</v>
      </c>
      <c r="F9" s="32">
        <f t="shared" si="0"/>
        <v>15349492.385216733</v>
      </c>
      <c r="G9" s="32">
        <f t="shared" si="0"/>
        <v>14599492.385216733</v>
      </c>
      <c r="H9" s="32">
        <f t="shared" si="0"/>
        <v>13861992.385216733</v>
      </c>
      <c r="N9" s="24"/>
      <c r="O9" s="24"/>
      <c r="P9" s="24"/>
      <c r="Q9" s="24"/>
      <c r="R9" s="24"/>
      <c r="S9" s="24"/>
    </row>
    <row r="10" spans="2:19" s="2" customFormat="1" ht="16.5" customHeight="1" thickBot="1">
      <c r="B10" s="5" t="s">
        <v>6</v>
      </c>
      <c r="C10" s="33">
        <v>18000000</v>
      </c>
      <c r="D10" s="33">
        <v>18000000</v>
      </c>
      <c r="E10" s="33">
        <v>18000000</v>
      </c>
      <c r="F10" s="33">
        <v>18000000</v>
      </c>
      <c r="G10" s="33">
        <v>18000000</v>
      </c>
      <c r="H10" s="33">
        <v>18000000</v>
      </c>
      <c r="N10" s="24"/>
      <c r="O10" s="24"/>
      <c r="P10" s="24"/>
      <c r="Q10" s="24"/>
      <c r="R10" s="24"/>
      <c r="S10" s="24"/>
    </row>
    <row r="11" spans="2:19" s="2" customFormat="1" ht="16.5" customHeight="1" thickBot="1">
      <c r="B11" s="5" t="s">
        <v>7</v>
      </c>
      <c r="C11" s="33">
        <f aca="true" t="shared" si="1" ref="C11:H11">(C10-C9)</f>
        <v>-5952500</v>
      </c>
      <c r="D11" s="33">
        <f t="shared" si="1"/>
        <v>-1205742.3852167353</v>
      </c>
      <c r="E11" s="33">
        <f t="shared" si="1"/>
        <v>-1205742.3852167353</v>
      </c>
      <c r="F11" s="33">
        <f t="shared" si="1"/>
        <v>2650507.6147832666</v>
      </c>
      <c r="G11" s="33">
        <f t="shared" si="1"/>
        <v>3400507.6147832666</v>
      </c>
      <c r="H11" s="33">
        <f t="shared" si="1"/>
        <v>4138007.6147832666</v>
      </c>
      <c r="N11" s="24"/>
      <c r="O11" s="24"/>
      <c r="P11" s="24"/>
      <c r="Q11" s="24"/>
      <c r="R11" s="24"/>
      <c r="S11" s="24"/>
    </row>
    <row r="12" spans="2:19" s="2" customFormat="1" ht="16.5" customHeight="1" thickBot="1">
      <c r="B12" s="22">
        <v>0.1362805384</v>
      </c>
      <c r="C12" s="5" t="s">
        <v>25</v>
      </c>
      <c r="N12" s="24"/>
      <c r="O12" s="24"/>
      <c r="P12" s="24"/>
      <c r="Q12" s="24"/>
      <c r="R12" s="24"/>
      <c r="S12" s="24"/>
    </row>
    <row r="13" spans="2:19" s="9" customFormat="1" ht="16.5" customHeight="1" thickBot="1">
      <c r="B13" s="8" t="s">
        <v>8</v>
      </c>
      <c r="C13" s="17">
        <f aca="true" t="shared" si="2" ref="C13:H13">1/(1+($B$12))^C4</f>
        <v>1</v>
      </c>
      <c r="D13" s="17">
        <f t="shared" si="2"/>
        <v>0.8800643557691333</v>
      </c>
      <c r="E13" s="17">
        <f t="shared" si="2"/>
        <v>0.7745132702953396</v>
      </c>
      <c r="F13" s="17">
        <f t="shared" si="2"/>
        <v>0.6816215222571126</v>
      </c>
      <c r="G13" s="17">
        <f t="shared" si="2"/>
        <v>0.5998708058635817</v>
      </c>
      <c r="H13" s="17">
        <f t="shared" si="2"/>
        <v>0.5279249143070438</v>
      </c>
      <c r="N13" s="26"/>
      <c r="O13" s="26"/>
      <c r="P13" s="26"/>
      <c r="Q13" s="26"/>
      <c r="R13" s="26"/>
      <c r="S13" s="26"/>
    </row>
    <row r="14" spans="2:19" s="2" customFormat="1" ht="16.5" customHeight="1" thickBot="1">
      <c r="B14" s="3" t="s">
        <v>9</v>
      </c>
      <c r="N14" s="24"/>
      <c r="O14" s="24"/>
      <c r="P14" s="24"/>
      <c r="Q14" s="24"/>
      <c r="R14" s="24"/>
      <c r="S14" s="24"/>
    </row>
    <row r="15" spans="2:19" s="2" customFormat="1" ht="16.5" customHeight="1">
      <c r="B15" s="6" t="s">
        <v>10</v>
      </c>
      <c r="C15" s="30">
        <f aca="true" t="shared" si="3" ref="C15:H15">C9*C13</f>
        <v>23952500</v>
      </c>
      <c r="D15" s="30">
        <f t="shared" si="3"/>
        <v>16902289.299313705</v>
      </c>
      <c r="E15" s="30">
        <f t="shared" si="3"/>
        <v>14875102.343224028</v>
      </c>
      <c r="F15" s="30">
        <f t="shared" si="3"/>
        <v>10462544.365485389</v>
      </c>
      <c r="G15" s="30">
        <f t="shared" si="3"/>
        <v>8757809.262319187</v>
      </c>
      <c r="H15" s="30">
        <f t="shared" si="3"/>
        <v>7318091.142090438</v>
      </c>
      <c r="N15" s="24"/>
      <c r="O15" s="24"/>
      <c r="P15" s="24"/>
      <c r="Q15" s="24"/>
      <c r="R15" s="24"/>
      <c r="S15" s="24"/>
    </row>
    <row r="16" spans="2:19" s="2" customFormat="1" ht="16.5" customHeight="1">
      <c r="B16" s="6" t="s">
        <v>11</v>
      </c>
      <c r="C16" s="31">
        <f aca="true" t="shared" si="4" ref="C16:H16">C10*C13</f>
        <v>18000000</v>
      </c>
      <c r="D16" s="31">
        <f t="shared" si="4"/>
        <v>15841158.4038444</v>
      </c>
      <c r="E16" s="31">
        <f t="shared" si="4"/>
        <v>13941238.865316112</v>
      </c>
      <c r="F16" s="31">
        <f t="shared" si="4"/>
        <v>12269187.400628027</v>
      </c>
      <c r="G16" s="31">
        <f t="shared" si="4"/>
        <v>10797674.50554447</v>
      </c>
      <c r="H16" s="31">
        <f t="shared" si="4"/>
        <v>9502648.457526788</v>
      </c>
      <c r="N16" s="24">
        <f aca="true" t="shared" si="5" ref="N16:S16">C4</f>
        <v>0</v>
      </c>
      <c r="O16" s="24">
        <f t="shared" si="5"/>
        <v>1</v>
      </c>
      <c r="P16" s="24">
        <f t="shared" si="5"/>
        <v>2</v>
      </c>
      <c r="Q16" s="24">
        <f t="shared" si="5"/>
        <v>3</v>
      </c>
      <c r="R16" s="24">
        <f t="shared" si="5"/>
        <v>4</v>
      </c>
      <c r="S16" s="24">
        <f t="shared" si="5"/>
        <v>5</v>
      </c>
    </row>
    <row r="17" spans="2:19" s="2" customFormat="1" ht="16.5" customHeight="1">
      <c r="B17" s="6" t="s">
        <v>13</v>
      </c>
      <c r="C17" s="31">
        <f aca="true" t="shared" si="6" ref="C17:H17">C11</f>
        <v>-5952500</v>
      </c>
      <c r="D17" s="31">
        <f t="shared" si="6"/>
        <v>-1205742.3852167353</v>
      </c>
      <c r="E17" s="31">
        <f t="shared" si="6"/>
        <v>-1205742.3852167353</v>
      </c>
      <c r="F17" s="31">
        <f t="shared" si="6"/>
        <v>2650507.6147832666</v>
      </c>
      <c r="G17" s="31">
        <f t="shared" si="6"/>
        <v>3400507.6147832666</v>
      </c>
      <c r="H17" s="31">
        <f t="shared" si="6"/>
        <v>4138007.6147832666</v>
      </c>
      <c r="N17" s="24"/>
      <c r="O17" s="24"/>
      <c r="P17" s="24"/>
      <c r="Q17" s="24"/>
      <c r="R17" s="24"/>
      <c r="S17" s="24"/>
    </row>
    <row r="18" spans="2:19" s="2" customFormat="1" ht="16.5" customHeight="1" thickBot="1">
      <c r="B18" s="6" t="s">
        <v>12</v>
      </c>
      <c r="C18" s="32">
        <f aca="true" t="shared" si="7" ref="C18:H18">C16-C15</f>
        <v>-5952500</v>
      </c>
      <c r="D18" s="32">
        <f t="shared" si="7"/>
        <v>-1061130.895469306</v>
      </c>
      <c r="E18" s="32">
        <f t="shared" si="7"/>
        <v>-933863.4779079165</v>
      </c>
      <c r="F18" s="32">
        <f t="shared" si="7"/>
        <v>1806643.0351426378</v>
      </c>
      <c r="G18" s="32">
        <f t="shared" si="7"/>
        <v>2039865.243225284</v>
      </c>
      <c r="H18" s="32">
        <f t="shared" si="7"/>
        <v>2184557.31543635</v>
      </c>
      <c r="N18" s="27">
        <f aca="true" t="shared" si="8" ref="N18:S18">C18</f>
        <v>-5952500</v>
      </c>
      <c r="O18" s="27">
        <f t="shared" si="8"/>
        <v>-1061130.895469306</v>
      </c>
      <c r="P18" s="27">
        <f t="shared" si="8"/>
        <v>-933863.4779079165</v>
      </c>
      <c r="Q18" s="27">
        <f t="shared" si="8"/>
        <v>1806643.0351426378</v>
      </c>
      <c r="R18" s="27">
        <f t="shared" si="8"/>
        <v>2039865.243225284</v>
      </c>
      <c r="S18" s="27">
        <f t="shared" si="8"/>
        <v>2184557.31543635</v>
      </c>
    </row>
    <row r="19" spans="2:19" s="2" customFormat="1" ht="15.75" customHeight="1" thickBot="1">
      <c r="B19" s="6" t="s">
        <v>14</v>
      </c>
      <c r="C19" s="33">
        <f>SUM(C15:H15)</f>
        <v>82268336.41243276</v>
      </c>
      <c r="D19" s="10"/>
      <c r="E19" s="10"/>
      <c r="F19" s="10"/>
      <c r="G19" s="10"/>
      <c r="H19" s="10"/>
      <c r="N19" s="24"/>
      <c r="O19" s="24"/>
      <c r="P19" s="24"/>
      <c r="Q19" s="24"/>
      <c r="R19" s="24"/>
      <c r="S19" s="24"/>
    </row>
    <row r="20" spans="2:19" s="2" customFormat="1" ht="15.75" customHeight="1" thickBot="1">
      <c r="B20" s="6" t="s">
        <v>15</v>
      </c>
      <c r="C20" s="33">
        <f>SUM(C16:H16)</f>
        <v>80351907.6328598</v>
      </c>
      <c r="D20" s="10"/>
      <c r="E20" s="10"/>
      <c r="F20" s="10"/>
      <c r="G20" s="10"/>
      <c r="H20" s="10"/>
      <c r="N20" s="24"/>
      <c r="O20" s="24"/>
      <c r="P20" s="24"/>
      <c r="Q20" s="24"/>
      <c r="R20" s="24"/>
      <c r="S20" s="24"/>
    </row>
    <row r="21" spans="2:19" s="2" customFormat="1" ht="16.5" customHeight="1" thickBot="1">
      <c r="B21" s="4" t="s">
        <v>16</v>
      </c>
      <c r="C21" s="33">
        <f>C20-C19</f>
        <v>-1916428.7795729637</v>
      </c>
      <c r="D21" s="10"/>
      <c r="E21" s="10"/>
      <c r="F21" s="10"/>
      <c r="G21" s="10"/>
      <c r="H21" s="10"/>
      <c r="N21" s="24"/>
      <c r="O21" s="24"/>
      <c r="P21" s="24"/>
      <c r="Q21" s="24"/>
      <c r="R21" s="24"/>
      <c r="S21" s="24"/>
    </row>
    <row r="22" spans="2:19" s="2" customFormat="1" ht="16.5" customHeight="1" thickBot="1">
      <c r="B22" s="4" t="s">
        <v>17</v>
      </c>
      <c r="C22" s="18">
        <f>C20/C19</f>
        <v>0.9767051472881936</v>
      </c>
      <c r="D22" s="10"/>
      <c r="E22" s="10"/>
      <c r="F22" s="10"/>
      <c r="G22" s="10"/>
      <c r="H22" s="10"/>
      <c r="N22" s="24">
        <v>0</v>
      </c>
      <c r="O22" s="28">
        <v>4591250</v>
      </c>
      <c r="P22" s="24"/>
      <c r="Q22" s="24"/>
      <c r="R22" s="24"/>
      <c r="S22" s="24"/>
    </row>
    <row r="23" spans="2:19" s="2" customFormat="1" ht="16.5" customHeight="1" thickBot="1">
      <c r="B23" s="4" t="s">
        <v>18</v>
      </c>
      <c r="C23" s="19">
        <f>IRR(C11:H11)</f>
        <v>0.05463794115746723</v>
      </c>
      <c r="D23" s="10"/>
      <c r="E23" s="10"/>
      <c r="F23" s="10"/>
      <c r="G23" s="10"/>
      <c r="H23" s="10"/>
      <c r="N23" s="24">
        <v>5</v>
      </c>
      <c r="O23" s="28">
        <v>2530231.44</v>
      </c>
      <c r="P23" s="24"/>
      <c r="Q23" s="24"/>
      <c r="R23" s="24"/>
      <c r="S23" s="24"/>
    </row>
    <row r="24" spans="2:19" s="2" customFormat="1" ht="15.75" customHeight="1" thickBot="1">
      <c r="B24" s="11" t="s">
        <v>19</v>
      </c>
      <c r="C24" s="20">
        <v>0.1</v>
      </c>
      <c r="D24" s="10"/>
      <c r="N24" s="24">
        <v>10</v>
      </c>
      <c r="O24" s="28">
        <v>935448.38</v>
      </c>
      <c r="P24" s="24"/>
      <c r="Q24" s="24"/>
      <c r="R24" s="24"/>
      <c r="S24" s="24"/>
    </row>
    <row r="25" spans="2:19" s="2" customFormat="1" ht="15.75" customHeight="1" thickBot="1">
      <c r="B25" s="11" t="s">
        <v>20</v>
      </c>
      <c r="C25" s="34">
        <f>C24*C9</f>
        <v>2395250</v>
      </c>
      <c r="D25" s="12"/>
      <c r="N25" s="24"/>
      <c r="O25" s="28"/>
      <c r="P25" s="24"/>
      <c r="Q25" s="24"/>
      <c r="R25" s="24"/>
      <c r="S25" s="24"/>
    </row>
    <row r="26" spans="2:19" s="2" customFormat="1" ht="15.75" customHeight="1" thickBot="1">
      <c r="B26" s="11" t="s">
        <v>21</v>
      </c>
      <c r="C26" s="20">
        <v>0.05</v>
      </c>
      <c r="N26" s="24">
        <v>15</v>
      </c>
      <c r="O26" s="28">
        <f>-313807.66</f>
        <v>-313807.66</v>
      </c>
      <c r="P26" s="24"/>
      <c r="Q26" s="24"/>
      <c r="R26" s="24"/>
      <c r="S26" s="24"/>
    </row>
    <row r="27" spans="2:19" s="2" customFormat="1" ht="15.75" customHeight="1" thickBot="1">
      <c r="B27" s="11" t="s">
        <v>22</v>
      </c>
      <c r="C27" s="21">
        <v>5</v>
      </c>
      <c r="N27" s="24">
        <v>20</v>
      </c>
      <c r="O27" s="28">
        <f>-1303336.71</f>
        <v>-1303336.71</v>
      </c>
      <c r="P27" s="24"/>
      <c r="Q27" s="24"/>
      <c r="R27" s="24"/>
      <c r="S27" s="24"/>
    </row>
    <row r="28" spans="2:19" s="2" customFormat="1" ht="15.75" customHeight="1" thickBot="1">
      <c r="B28" s="11" t="s">
        <v>24</v>
      </c>
      <c r="C28" s="35">
        <f>PMT(C26,C27,-C25,,0)</f>
        <v>553242.3852167341</v>
      </c>
      <c r="N28" s="24"/>
      <c r="O28" s="28"/>
      <c r="P28" s="24"/>
      <c r="Q28" s="24"/>
      <c r="R28" s="24"/>
      <c r="S28" s="24"/>
    </row>
    <row r="29" spans="2:19" s="2" customFormat="1" ht="15.75" customHeight="1" thickBot="1">
      <c r="B29" s="11" t="s">
        <v>27</v>
      </c>
      <c r="C29" s="35">
        <f>SUM(D8:H8)</f>
        <v>2766211.926083671</v>
      </c>
      <c r="N29" s="24"/>
      <c r="O29" s="28"/>
      <c r="P29" s="24"/>
      <c r="Q29" s="24"/>
      <c r="R29" s="24"/>
      <c r="S29" s="24"/>
    </row>
    <row r="30" spans="2:19" s="2" customFormat="1" ht="15.75" customHeight="1" thickBot="1">
      <c r="B30" s="11" t="s">
        <v>28</v>
      </c>
      <c r="C30" s="35">
        <f>C29-C25</f>
        <v>370961.9260836709</v>
      </c>
      <c r="N30" s="24"/>
      <c r="O30" s="28"/>
      <c r="P30" s="24"/>
      <c r="Q30" s="24"/>
      <c r="R30" s="24"/>
      <c r="S30" s="24"/>
    </row>
    <row r="31" spans="2:19" s="2" customFormat="1" ht="16.5" customHeight="1" thickBot="1">
      <c r="B31" s="22">
        <v>0.1362805384</v>
      </c>
      <c r="C31" s="23" t="s">
        <v>23</v>
      </c>
      <c r="N31" s="24">
        <v>25</v>
      </c>
      <c r="O31" s="28">
        <v>-2095095.2</v>
      </c>
      <c r="P31" s="24"/>
      <c r="Q31" s="24"/>
      <c r="R31" s="24"/>
      <c r="S31" s="24"/>
    </row>
    <row r="32" spans="2:19" s="2" customFormat="1" ht="9" customHeight="1">
      <c r="B32" s="1"/>
      <c r="C32" s="1"/>
      <c r="D32" s="1"/>
      <c r="N32" s="24">
        <v>30</v>
      </c>
      <c r="O32" s="28">
        <v>-2734471.45</v>
      </c>
      <c r="P32" s="24"/>
      <c r="Q32" s="24"/>
      <c r="R32" s="24"/>
      <c r="S32" s="24"/>
    </row>
    <row r="33" spans="14:15" ht="12" customHeight="1">
      <c r="N33" s="25">
        <v>35</v>
      </c>
      <c r="O33" s="29">
        <v>-3255158.53</v>
      </c>
    </row>
    <row r="34" spans="14:15" ht="12" customHeight="1">
      <c r="N34" s="25">
        <v>40</v>
      </c>
      <c r="O34" s="29">
        <v>-3682473.75</v>
      </c>
    </row>
  </sheetData>
  <printOptions horizontalCentered="1" verticalCentered="1"/>
  <pageMargins left="0.3" right="0.3" top="0.7" bottom="0.7" header="0.5" footer="0.5"/>
  <pageSetup orientation="landscape" scale="75"/>
  <drawing r:id="rId3"/>
  <legacyDrawing r:id="rId2"/>
  <oleObjects>
    <oleObject progId="Equation.3" shapeId="10734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lastPrinted>2002-06-19T18:36:35Z</cp:lastPrinted>
  <dcterms:created xsi:type="dcterms:W3CDTF">1999-07-18T16:26:44Z</dcterms:created>
  <cp:category/>
  <cp:version/>
  <cp:contentType/>
  <cp:contentStatus/>
</cp:coreProperties>
</file>