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ate1904="1"/>
  <mc:AlternateContent xmlns:mc="http://schemas.openxmlformats.org/markup-compatibility/2006">
    <mc:Choice Requires="x15">
      <x15ac:absPath xmlns:x15ac="http://schemas.microsoft.com/office/spreadsheetml/2010/11/ac" url="/Users/PhillipLeBel/Desktop/"/>
    </mc:Choice>
  </mc:AlternateContent>
  <xr:revisionPtr revIDLastSave="0" documentId="8_{66261FE1-B2AF-1D49-899A-95C1AA8C3164}" xr6:coauthVersionLast="47" xr6:coauthVersionMax="47" xr10:uidLastSave="{00000000-0000-0000-0000-000000000000}"/>
  <bookViews>
    <workbookView xWindow="0" yWindow="760" windowWidth="19260" windowHeight="17920" tabRatio="214" xr2:uid="{BC6DBDD1-55FE-CC4B-95F8-70A5EA6D7CC9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J47" i="1" s="1"/>
  <c r="C61" i="1"/>
  <c r="D61" i="1"/>
  <c r="D66" i="1" s="1"/>
  <c r="E64" i="1"/>
  <c r="F64" i="1"/>
  <c r="K64" i="1"/>
  <c r="B65" i="1"/>
  <c r="B66" i="1" s="1"/>
  <c r="B67" i="1" s="1"/>
  <c r="E65" i="1"/>
  <c r="F65" i="1"/>
  <c r="J65" i="1"/>
  <c r="K65" i="1"/>
  <c r="L65" i="1" s="1"/>
  <c r="C66" i="1"/>
  <c r="D67" i="1"/>
  <c r="F67" i="1"/>
  <c r="D529" i="1" s="1"/>
  <c r="B68" i="1"/>
  <c r="B69" i="1"/>
  <c r="B70" i="1" s="1"/>
  <c r="B71" i="1" s="1"/>
  <c r="B72" i="1" s="1"/>
  <c r="C70" i="1"/>
  <c r="D70" i="1"/>
  <c r="F70" i="1" s="1"/>
  <c r="E70" i="1"/>
  <c r="G70" i="1"/>
  <c r="E215" i="1" s="1"/>
  <c r="H347" i="1" s="1"/>
  <c r="K70" i="1"/>
  <c r="D71" i="1"/>
  <c r="F71" i="1" s="1"/>
  <c r="D421" i="1" s="1"/>
  <c r="D661" i="1" s="1"/>
  <c r="C73" i="1"/>
  <c r="E73" i="1" s="1"/>
  <c r="D73" i="1"/>
  <c r="F73" i="1" s="1"/>
  <c r="K73" i="1" s="1"/>
  <c r="C75" i="1"/>
  <c r="E75" i="1" s="1"/>
  <c r="C77" i="1"/>
  <c r="E77" i="1" s="1"/>
  <c r="D77" i="1"/>
  <c r="F77" i="1" s="1"/>
  <c r="K77" i="1" s="1"/>
  <c r="C78" i="1"/>
  <c r="E78" i="1"/>
  <c r="C428" i="1" s="1"/>
  <c r="C668" i="1" s="1"/>
  <c r="C79" i="1"/>
  <c r="E79" i="1" s="1"/>
  <c r="C541" i="1" s="1"/>
  <c r="C81" i="1"/>
  <c r="E81" i="1" s="1"/>
  <c r="D81" i="1"/>
  <c r="F81" i="1" s="1"/>
  <c r="K81" i="1" s="1"/>
  <c r="C83" i="1"/>
  <c r="E83" i="1" s="1"/>
  <c r="B128" i="1"/>
  <c r="E128" i="1"/>
  <c r="B129" i="1"/>
  <c r="B130" i="1" s="1"/>
  <c r="B131" i="1" s="1"/>
  <c r="B132" i="1" s="1"/>
  <c r="B133" i="1" s="1"/>
  <c r="B134" i="1" s="1"/>
  <c r="B135" i="1" s="1"/>
  <c r="E131" i="1"/>
  <c r="E132" i="1"/>
  <c r="E134" i="1"/>
  <c r="E137" i="1"/>
  <c r="E138" i="1"/>
  <c r="E141" i="1"/>
  <c r="E142" i="1"/>
  <c r="E145" i="1"/>
  <c r="E146" i="1"/>
  <c r="D210" i="1"/>
  <c r="D211" i="1"/>
  <c r="D212" i="1" s="1"/>
  <c r="D213" i="1" s="1"/>
  <c r="D214" i="1" s="1"/>
  <c r="D215" i="1" s="1"/>
  <c r="D216" i="1" s="1"/>
  <c r="D217" i="1" s="1"/>
  <c r="G245" i="1"/>
  <c r="H245" i="1"/>
  <c r="I245" i="1"/>
  <c r="J245" i="1"/>
  <c r="E246" i="1"/>
  <c r="G288" i="1" s="1"/>
  <c r="G246" i="1"/>
  <c r="H246" i="1"/>
  <c r="I246" i="1"/>
  <c r="J246" i="1"/>
  <c r="G247" i="1"/>
  <c r="H247" i="1"/>
  <c r="I247" i="1"/>
  <c r="J247" i="1"/>
  <c r="G248" i="1"/>
  <c r="H248" i="1"/>
  <c r="C255" i="1"/>
  <c r="B256" i="1"/>
  <c r="C256" i="1"/>
  <c r="D256" i="1" s="1"/>
  <c r="B257" i="1"/>
  <c r="B258" i="1" s="1"/>
  <c r="B259" i="1" s="1"/>
  <c r="B260" i="1" s="1"/>
  <c r="B261" i="1" s="1"/>
  <c r="B262" i="1" s="1"/>
  <c r="B263" i="1" s="1"/>
  <c r="C268" i="1"/>
  <c r="D268" i="1" s="1"/>
  <c r="G283" i="1"/>
  <c r="F284" i="1"/>
  <c r="F285" i="1" s="1"/>
  <c r="G284" i="1"/>
  <c r="G285" i="1"/>
  <c r="F286" i="1"/>
  <c r="F287" i="1" s="1"/>
  <c r="F288" i="1" s="1"/>
  <c r="F289" i="1" s="1"/>
  <c r="F290" i="1" s="1"/>
  <c r="F291" i="1" s="1"/>
  <c r="G286" i="1"/>
  <c r="G287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23" i="1"/>
  <c r="D337" i="1"/>
  <c r="B342" i="1"/>
  <c r="B343" i="1" s="1"/>
  <c r="B344" i="1" s="1"/>
  <c r="B345" i="1"/>
  <c r="B346" i="1" s="1"/>
  <c r="B347" i="1" s="1"/>
  <c r="B348" i="1"/>
  <c r="B349" i="1" s="1"/>
  <c r="C381" i="1"/>
  <c r="H381" i="1"/>
  <c r="C382" i="1"/>
  <c r="C612" i="1" s="1"/>
  <c r="H382" i="1"/>
  <c r="H383" i="1" s="1"/>
  <c r="C383" i="1"/>
  <c r="D383" i="1"/>
  <c r="E383" i="1"/>
  <c r="F383" i="1"/>
  <c r="C384" i="1"/>
  <c r="D384" i="1"/>
  <c r="D614" i="1" s="1"/>
  <c r="F391" i="1"/>
  <c r="H391" i="1"/>
  <c r="E393" i="1"/>
  <c r="G393" i="1"/>
  <c r="F397" i="1"/>
  <c r="G397" i="1"/>
  <c r="G400" i="1"/>
  <c r="G401" i="1"/>
  <c r="F407" i="1"/>
  <c r="G407" i="1"/>
  <c r="F408" i="1"/>
  <c r="G408" i="1"/>
  <c r="C414" i="1"/>
  <c r="D414" i="1"/>
  <c r="B415" i="1"/>
  <c r="C415" i="1"/>
  <c r="D415" i="1"/>
  <c r="B416" i="1"/>
  <c r="B417" i="1"/>
  <c r="B418" i="1" s="1"/>
  <c r="B419" i="1" s="1"/>
  <c r="B420" i="1" s="1"/>
  <c r="B421" i="1" s="1"/>
  <c r="B422" i="1" s="1"/>
  <c r="D420" i="1"/>
  <c r="D660" i="1" s="1"/>
  <c r="E420" i="1"/>
  <c r="E660" i="1" s="1"/>
  <c r="C425" i="1"/>
  <c r="C665" i="1" s="1"/>
  <c r="H665" i="1" s="1"/>
  <c r="C427" i="1"/>
  <c r="C667" i="1" s="1"/>
  <c r="H667" i="1" s="1"/>
  <c r="D427" i="1"/>
  <c r="D431" i="1"/>
  <c r="D671" i="1" s="1"/>
  <c r="C433" i="1"/>
  <c r="C673" i="1" s="1"/>
  <c r="H673" i="1" s="1"/>
  <c r="F467" i="1"/>
  <c r="B471" i="1"/>
  <c r="B472" i="1"/>
  <c r="B473" i="1" s="1"/>
  <c r="B474" i="1" s="1"/>
  <c r="B475" i="1"/>
  <c r="B476" i="1" s="1"/>
  <c r="B477" i="1"/>
  <c r="B478" i="1" s="1"/>
  <c r="H517" i="1"/>
  <c r="I517" i="1"/>
  <c r="J517" i="1"/>
  <c r="K517" i="1"/>
  <c r="F518" i="1"/>
  <c r="H518" i="1"/>
  <c r="I518" i="1"/>
  <c r="J518" i="1"/>
  <c r="K518" i="1"/>
  <c r="H519" i="1"/>
  <c r="I519" i="1"/>
  <c r="J519" i="1"/>
  <c r="K519" i="1"/>
  <c r="H520" i="1"/>
  <c r="I520" i="1"/>
  <c r="F519" i="1" s="1"/>
  <c r="C526" i="1"/>
  <c r="D526" i="1"/>
  <c r="B527" i="1"/>
  <c r="C527" i="1"/>
  <c r="D527" i="1"/>
  <c r="B528" i="1"/>
  <c r="B529" i="1" s="1"/>
  <c r="B530" i="1" s="1"/>
  <c r="B531" i="1" s="1"/>
  <c r="B532" i="1" s="1"/>
  <c r="B533" i="1" s="1"/>
  <c r="B534" i="1" s="1"/>
  <c r="C532" i="1"/>
  <c r="D532" i="1"/>
  <c r="C537" i="1"/>
  <c r="C539" i="1"/>
  <c r="D539" i="1"/>
  <c r="C540" i="1"/>
  <c r="D543" i="1"/>
  <c r="C545" i="1"/>
  <c r="C553" i="1"/>
  <c r="D553" i="1"/>
  <c r="B554" i="1"/>
  <c r="B555" i="1" s="1"/>
  <c r="B556" i="1" s="1"/>
  <c r="B557" i="1" s="1"/>
  <c r="B558" i="1" s="1"/>
  <c r="B559" i="1" s="1"/>
  <c r="B560" i="1" s="1"/>
  <c r="B561" i="1" s="1"/>
  <c r="C555" i="1"/>
  <c r="D555" i="1"/>
  <c r="C556" i="1"/>
  <c r="D556" i="1"/>
  <c r="C557" i="1"/>
  <c r="C558" i="1"/>
  <c r="D558" i="1"/>
  <c r="D559" i="1"/>
  <c r="C560" i="1"/>
  <c r="D560" i="1"/>
  <c r="D561" i="1"/>
  <c r="C562" i="1"/>
  <c r="C563" i="1"/>
  <c r="D563" i="1"/>
  <c r="C564" i="1"/>
  <c r="C565" i="1"/>
  <c r="D565" i="1"/>
  <c r="C567" i="1"/>
  <c r="D567" i="1"/>
  <c r="C568" i="1"/>
  <c r="D569" i="1"/>
  <c r="C570" i="1"/>
  <c r="C571" i="1"/>
  <c r="D571" i="1"/>
  <c r="C572" i="1"/>
  <c r="E610" i="1"/>
  <c r="H610" i="1"/>
  <c r="C611" i="1"/>
  <c r="D611" i="1"/>
  <c r="E611" i="1"/>
  <c r="F611" i="1"/>
  <c r="G611" i="1"/>
  <c r="H611" i="1"/>
  <c r="I611" i="1"/>
  <c r="H613" i="1" s="1"/>
  <c r="J611" i="1"/>
  <c r="D612" i="1"/>
  <c r="E612" i="1"/>
  <c r="F612" i="1"/>
  <c r="G612" i="1"/>
  <c r="H612" i="1"/>
  <c r="I612" i="1"/>
  <c r="J612" i="1"/>
  <c r="C613" i="1"/>
  <c r="D613" i="1"/>
  <c r="E613" i="1"/>
  <c r="F613" i="1"/>
  <c r="G613" i="1"/>
  <c r="I613" i="1"/>
  <c r="J613" i="1"/>
  <c r="C614" i="1"/>
  <c r="G614" i="1"/>
  <c r="H614" i="1"/>
  <c r="I614" i="1"/>
  <c r="D615" i="1"/>
  <c r="E615" i="1"/>
  <c r="E616" i="1" s="1"/>
  <c r="E617" i="1" s="1"/>
  <c r="F615" i="1"/>
  <c r="G615" i="1"/>
  <c r="F616" i="1"/>
  <c r="F648" i="1"/>
  <c r="F650" i="1" s="1"/>
  <c r="G648" i="1"/>
  <c r="F649" i="1"/>
  <c r="G649" i="1"/>
  <c r="D654" i="1"/>
  <c r="B655" i="1"/>
  <c r="C655" i="1"/>
  <c r="D655" i="1"/>
  <c r="B656" i="1"/>
  <c r="B657" i="1" s="1"/>
  <c r="B658" i="1"/>
  <c r="B659" i="1"/>
  <c r="B660" i="1"/>
  <c r="B661" i="1" s="1"/>
  <c r="B662" i="1" s="1"/>
  <c r="D667" i="1"/>
  <c r="H4" i="2"/>
  <c r="K5" i="2" s="1"/>
  <c r="I4" i="2"/>
  <c r="H6" i="2"/>
  <c r="I6" i="2"/>
  <c r="B13" i="2" s="1"/>
  <c r="B11" i="2" s="1"/>
  <c r="F7" i="2"/>
  <c r="H8" i="2"/>
  <c r="I8" i="2"/>
  <c r="H10" i="2"/>
  <c r="H15" i="2" s="1"/>
  <c r="I10" i="2"/>
  <c r="C13" i="2"/>
  <c r="D13" i="2"/>
  <c r="I13" i="2"/>
  <c r="B14" i="2"/>
  <c r="C14" i="2"/>
  <c r="D14" i="2"/>
  <c r="C15" i="2"/>
  <c r="D15" i="2"/>
  <c r="I15" i="2"/>
  <c r="H17" i="2"/>
  <c r="I17" i="2"/>
  <c r="H19" i="2"/>
  <c r="I19" i="2"/>
  <c r="I22" i="2"/>
  <c r="I24" i="2"/>
  <c r="D417" i="1" l="1"/>
  <c r="D657" i="1" s="1"/>
  <c r="C429" i="1"/>
  <c r="C669" i="1" s="1"/>
  <c r="H669" i="1" s="1"/>
  <c r="E532" i="1"/>
  <c r="G81" i="1"/>
  <c r="H81" i="1" s="1"/>
  <c r="I300" i="1" s="1"/>
  <c r="C543" i="1"/>
  <c r="G73" i="1"/>
  <c r="E535" i="1" s="1"/>
  <c r="C535" i="1"/>
  <c r="D535" i="1"/>
  <c r="H668" i="1"/>
  <c r="D423" i="1"/>
  <c r="D663" i="1" s="1"/>
  <c r="D533" i="1"/>
  <c r="J650" i="1"/>
  <c r="G394" i="1"/>
  <c r="J383" i="1"/>
  <c r="H384" i="1" s="1"/>
  <c r="J384" i="1" s="1"/>
  <c r="J614" i="1" s="1"/>
  <c r="C12" i="2"/>
  <c r="C11" i="2" s="1"/>
  <c r="D12" i="2"/>
  <c r="D11" i="2" s="1"/>
  <c r="E10" i="2"/>
  <c r="E14" i="2"/>
  <c r="E12" i="2"/>
  <c r="E13" i="2"/>
  <c r="E18" i="2"/>
  <c r="F15" i="2"/>
  <c r="E15" i="2"/>
  <c r="B15" i="2"/>
  <c r="F13" i="2"/>
  <c r="H24" i="2" s="1"/>
  <c r="H655" i="1"/>
  <c r="C554" i="1"/>
  <c r="C559" i="1"/>
  <c r="B12" i="2"/>
  <c r="H650" i="1"/>
  <c r="C654" i="1"/>
  <c r="C128" i="1"/>
  <c r="D128" i="1"/>
  <c r="J391" i="1"/>
  <c r="I393" i="1" s="1"/>
  <c r="I386" i="1"/>
  <c r="C569" i="1"/>
  <c r="C566" i="1"/>
  <c r="C561" i="1"/>
  <c r="D557" i="1"/>
  <c r="D562" i="1"/>
  <c r="D564" i="1"/>
  <c r="D566" i="1"/>
  <c r="D568" i="1"/>
  <c r="D570" i="1"/>
  <c r="D572" i="1"/>
  <c r="D554" i="1"/>
  <c r="G395" i="1"/>
  <c r="E619" i="1" s="1"/>
  <c r="C272" i="1"/>
  <c r="C431" i="1"/>
  <c r="D272" i="1"/>
  <c r="L77" i="1"/>
  <c r="C423" i="1"/>
  <c r="C264" i="1"/>
  <c r="D264" i="1" s="1"/>
  <c r="E66" i="1"/>
  <c r="H409" i="1"/>
  <c r="E226" i="1"/>
  <c r="H358" i="1" s="1"/>
  <c r="I70" i="1"/>
  <c r="F409" i="1"/>
  <c r="J78" i="1"/>
  <c r="H70" i="1"/>
  <c r="I289" i="1" s="1"/>
  <c r="C261" i="1"/>
  <c r="D261" i="1"/>
  <c r="C420" i="1"/>
  <c r="G77" i="1"/>
  <c r="F66" i="1"/>
  <c r="E210" i="1"/>
  <c r="H342" i="1" s="1"/>
  <c r="C69" i="1"/>
  <c r="E69" i="1" s="1"/>
  <c r="C72" i="1"/>
  <c r="E72" i="1" s="1"/>
  <c r="J72" i="1" s="1"/>
  <c r="C76" i="1"/>
  <c r="E76" i="1" s="1"/>
  <c r="J76" i="1" s="1"/>
  <c r="C80" i="1"/>
  <c r="E80" i="1" s="1"/>
  <c r="J80" i="1" s="1"/>
  <c r="C67" i="1"/>
  <c r="C71" i="1"/>
  <c r="E71" i="1" s="1"/>
  <c r="C82" i="1"/>
  <c r="E82" i="1" s="1"/>
  <c r="C74" i="1"/>
  <c r="E74" i="1" s="1"/>
  <c r="C68" i="1"/>
  <c r="E68" i="1" s="1"/>
  <c r="G65" i="1"/>
  <c r="E127" i="1"/>
  <c r="E135" i="1"/>
  <c r="E139" i="1"/>
  <c r="E143" i="1"/>
  <c r="E130" i="1"/>
  <c r="E247" i="1"/>
  <c r="J64" i="1"/>
  <c r="K67" i="1"/>
  <c r="J70" i="1"/>
  <c r="L70" i="1" s="1"/>
  <c r="J73" i="1"/>
  <c r="L73" i="1" s="1"/>
  <c r="J77" i="1"/>
  <c r="J81" i="1"/>
  <c r="L81" i="1" s="1"/>
  <c r="I111" i="1"/>
  <c r="E133" i="1"/>
  <c r="E136" i="1"/>
  <c r="E140" i="1"/>
  <c r="E144" i="1"/>
  <c r="K71" i="1"/>
  <c r="J75" i="1"/>
  <c r="J79" i="1"/>
  <c r="J83" i="1"/>
  <c r="E129" i="1"/>
  <c r="G64" i="1"/>
  <c r="H64" i="1" s="1"/>
  <c r="D82" i="1"/>
  <c r="F82" i="1" s="1"/>
  <c r="D78" i="1"/>
  <c r="F78" i="1" s="1"/>
  <c r="G78" i="1" s="1"/>
  <c r="D74" i="1"/>
  <c r="F74" i="1" s="1"/>
  <c r="D68" i="1"/>
  <c r="E209" i="1"/>
  <c r="D80" i="1"/>
  <c r="F80" i="1" s="1"/>
  <c r="D76" i="1"/>
  <c r="F76" i="1" s="1"/>
  <c r="K76" i="1" s="1"/>
  <c r="D72" i="1"/>
  <c r="F72" i="1" s="1"/>
  <c r="J48" i="1"/>
  <c r="D255" i="1"/>
  <c r="D69" i="1"/>
  <c r="F69" i="1" s="1"/>
  <c r="H65" i="1"/>
  <c r="I284" i="1" s="1"/>
  <c r="D83" i="1"/>
  <c r="F83" i="1" s="1"/>
  <c r="D79" i="1"/>
  <c r="F79" i="1" s="1"/>
  <c r="D75" i="1"/>
  <c r="F75" i="1" s="1"/>
  <c r="E218" i="1" l="1"/>
  <c r="H350" i="1" s="1"/>
  <c r="H73" i="1"/>
  <c r="I292" i="1" s="1"/>
  <c r="E423" i="1"/>
  <c r="E663" i="1" s="1"/>
  <c r="I73" i="1"/>
  <c r="F423" i="1" s="1"/>
  <c r="E223" i="1"/>
  <c r="H355" i="1" s="1"/>
  <c r="H78" i="1"/>
  <c r="I297" i="1" s="1"/>
  <c r="L76" i="1"/>
  <c r="C139" i="1" s="1"/>
  <c r="E431" i="1"/>
  <c r="E671" i="1" s="1"/>
  <c r="E543" i="1"/>
  <c r="C136" i="1"/>
  <c r="D136" i="1"/>
  <c r="F18" i="2"/>
  <c r="F19" i="2" s="1"/>
  <c r="F10" i="2"/>
  <c r="F14" i="2"/>
  <c r="I283" i="1"/>
  <c r="G74" i="1"/>
  <c r="H74" i="1" s="1"/>
  <c r="I293" i="1" s="1"/>
  <c r="J74" i="1"/>
  <c r="C265" i="1"/>
  <c r="D265" i="1" s="1"/>
  <c r="C424" i="1"/>
  <c r="C536" i="1"/>
  <c r="F532" i="1"/>
  <c r="F420" i="1"/>
  <c r="K18" i="2"/>
  <c r="D534" i="1"/>
  <c r="D422" i="1"/>
  <c r="D662" i="1" s="1"/>
  <c r="I65" i="1"/>
  <c r="E256" i="1"/>
  <c r="E415" i="1"/>
  <c r="E527" i="1"/>
  <c r="K75" i="1"/>
  <c r="L75" i="1" s="1"/>
  <c r="D425" i="1"/>
  <c r="G75" i="1"/>
  <c r="C266" i="1"/>
  <c r="D266" i="1" s="1"/>
  <c r="D537" i="1"/>
  <c r="D426" i="1"/>
  <c r="D666" i="1" s="1"/>
  <c r="D538" i="1"/>
  <c r="J68" i="1"/>
  <c r="C418" i="1"/>
  <c r="C530" i="1"/>
  <c r="J69" i="1"/>
  <c r="G69" i="1"/>
  <c r="E214" i="1" s="1"/>
  <c r="H346" i="1" s="1"/>
  <c r="C260" i="1"/>
  <c r="D260" i="1" s="1"/>
  <c r="C419" i="1"/>
  <c r="C531" i="1"/>
  <c r="E261" i="1"/>
  <c r="E264" i="1"/>
  <c r="L64" i="1"/>
  <c r="H283" i="1"/>
  <c r="H291" i="1"/>
  <c r="H293" i="1"/>
  <c r="H295" i="1"/>
  <c r="H297" i="1"/>
  <c r="H299" i="1"/>
  <c r="H301" i="1"/>
  <c r="H285" i="1"/>
  <c r="H287" i="1"/>
  <c r="H302" i="1"/>
  <c r="H289" i="1"/>
  <c r="H300" i="1"/>
  <c r="H284" i="1"/>
  <c r="H290" i="1"/>
  <c r="H294" i="1"/>
  <c r="H288" i="1"/>
  <c r="H298" i="1"/>
  <c r="H286" i="1"/>
  <c r="H292" i="1"/>
  <c r="H296" i="1"/>
  <c r="E427" i="1"/>
  <c r="E539" i="1"/>
  <c r="K83" i="1"/>
  <c r="L83" i="1" s="1"/>
  <c r="G83" i="1"/>
  <c r="C274" i="1"/>
  <c r="D274" i="1" s="1"/>
  <c r="D433" i="1"/>
  <c r="D545" i="1"/>
  <c r="F256" i="1"/>
  <c r="E19" i="2"/>
  <c r="H22" i="2"/>
  <c r="E540" i="1"/>
  <c r="E428" i="1"/>
  <c r="E668" i="1" s="1"/>
  <c r="G668" i="1" s="1"/>
  <c r="D531" i="1"/>
  <c r="D419" i="1"/>
  <c r="D659" i="1" s="1"/>
  <c r="K66" i="1"/>
  <c r="D528" i="1"/>
  <c r="D416" i="1"/>
  <c r="C416" i="1"/>
  <c r="C257" i="1"/>
  <c r="D257" i="1" s="1"/>
  <c r="G66" i="1"/>
  <c r="H66" i="1" s="1"/>
  <c r="I285" i="1" s="1"/>
  <c r="C528" i="1"/>
  <c r="J256" i="1"/>
  <c r="K9" i="2"/>
  <c r="H255" i="1"/>
  <c r="J255" i="1"/>
  <c r="F255" i="1"/>
  <c r="J66" i="1"/>
  <c r="K72" i="1"/>
  <c r="L72" i="1" s="1"/>
  <c r="E225" i="1"/>
  <c r="H357" i="1" s="1"/>
  <c r="G80" i="1"/>
  <c r="H80" i="1" s="1"/>
  <c r="I299" i="1" s="1"/>
  <c r="C271" i="1"/>
  <c r="D271" i="1"/>
  <c r="C542" i="1"/>
  <c r="C430" i="1"/>
  <c r="H261" i="1"/>
  <c r="F261" i="1"/>
  <c r="J261" i="1"/>
  <c r="H654" i="1"/>
  <c r="H268" i="1"/>
  <c r="G79" i="1"/>
  <c r="K79" i="1"/>
  <c r="L79" i="1" s="1"/>
  <c r="C270" i="1"/>
  <c r="D270" i="1" s="1"/>
  <c r="E224" i="1"/>
  <c r="H356" i="1" s="1"/>
  <c r="D541" i="1"/>
  <c r="D429" i="1"/>
  <c r="H341" i="1"/>
  <c r="G82" i="1"/>
  <c r="C273" i="1"/>
  <c r="D273" i="1" s="1"/>
  <c r="J82" i="1"/>
  <c r="C432" i="1"/>
  <c r="C544" i="1"/>
  <c r="J264" i="1"/>
  <c r="H264" i="1"/>
  <c r="F264" i="1"/>
  <c r="C144" i="1"/>
  <c r="D144" i="1"/>
  <c r="H128" i="1"/>
  <c r="F128" i="1"/>
  <c r="H210" i="1" s="1"/>
  <c r="I128" i="1"/>
  <c r="H397" i="1"/>
  <c r="F398" i="1" s="1"/>
  <c r="E400" i="1" s="1"/>
  <c r="D401" i="1" s="1"/>
  <c r="F401" i="1" s="1"/>
  <c r="E618" i="1"/>
  <c r="H400" i="1"/>
  <c r="G71" i="1"/>
  <c r="E216" i="1" s="1"/>
  <c r="H348" i="1" s="1"/>
  <c r="H71" i="1"/>
  <c r="I290" i="1" s="1"/>
  <c r="J71" i="1"/>
  <c r="L71" i="1" s="1"/>
  <c r="C262" i="1"/>
  <c r="D262" i="1" s="1"/>
  <c r="C421" i="1"/>
  <c r="C533" i="1"/>
  <c r="C84" i="1"/>
  <c r="H256" i="1"/>
  <c r="E67" i="1"/>
  <c r="E85" i="1" s="1"/>
  <c r="C85" i="1"/>
  <c r="H476" i="1"/>
  <c r="C660" i="1"/>
  <c r="H660" i="1" s="1"/>
  <c r="K78" i="1"/>
  <c r="L78" i="1" s="1"/>
  <c r="C269" i="1"/>
  <c r="D269" i="1" s="1"/>
  <c r="D540" i="1"/>
  <c r="D428" i="1"/>
  <c r="K82" i="1"/>
  <c r="D432" i="1"/>
  <c r="D672" i="1" s="1"/>
  <c r="D544" i="1"/>
  <c r="K69" i="1"/>
  <c r="C267" i="1"/>
  <c r="D267" i="1" s="1"/>
  <c r="C426" i="1"/>
  <c r="C538" i="1"/>
  <c r="G76" i="1"/>
  <c r="H76" i="1" s="1"/>
  <c r="I295" i="1" s="1"/>
  <c r="E228" i="1"/>
  <c r="H360" i="1" s="1"/>
  <c r="H410" i="1"/>
  <c r="E272" i="1"/>
  <c r="F268" i="1"/>
  <c r="H13" i="2"/>
  <c r="D542" i="1"/>
  <c r="D430" i="1"/>
  <c r="D670" i="1" s="1"/>
  <c r="C140" i="1"/>
  <c r="D140" i="1"/>
  <c r="E222" i="1"/>
  <c r="H354" i="1" s="1"/>
  <c r="J272" i="1"/>
  <c r="H272" i="1"/>
  <c r="F272" i="1"/>
  <c r="F68" i="1"/>
  <c r="D85" i="1"/>
  <c r="K80" i="1"/>
  <c r="L80" i="1" s="1"/>
  <c r="D84" i="1"/>
  <c r="H77" i="1"/>
  <c r="I296" i="1" s="1"/>
  <c r="C133" i="1"/>
  <c r="D133" i="1"/>
  <c r="H487" i="1"/>
  <c r="C671" i="1"/>
  <c r="H671" i="1" s="1"/>
  <c r="K74" i="1"/>
  <c r="L74" i="1" s="1"/>
  <c r="D424" i="1"/>
  <c r="D664" i="1" s="1"/>
  <c r="D536" i="1"/>
  <c r="I64" i="1"/>
  <c r="E255" i="1"/>
  <c r="E414" i="1"/>
  <c r="E526" i="1"/>
  <c r="G72" i="1"/>
  <c r="C263" i="1"/>
  <c r="D263" i="1"/>
  <c r="C534" i="1"/>
  <c r="C422" i="1"/>
  <c r="C663" i="1"/>
  <c r="H663" i="1" s="1"/>
  <c r="H479" i="1"/>
  <c r="G663" i="1"/>
  <c r="I81" i="1"/>
  <c r="J268" i="1"/>
  <c r="I77" i="1" l="1"/>
  <c r="E269" i="1"/>
  <c r="F535" i="1"/>
  <c r="H69" i="1"/>
  <c r="I288" i="1" s="1"/>
  <c r="E219" i="1"/>
  <c r="H351" i="1" s="1"/>
  <c r="D139" i="1"/>
  <c r="I78" i="1"/>
  <c r="D86" i="1"/>
  <c r="E268" i="1"/>
  <c r="L82" i="1"/>
  <c r="E211" i="1"/>
  <c r="H343" i="1" s="1"/>
  <c r="C86" i="1"/>
  <c r="J273" i="1"/>
  <c r="F273" i="1"/>
  <c r="H273" i="1"/>
  <c r="J85" i="1"/>
  <c r="F257" i="1"/>
  <c r="H257" i="1"/>
  <c r="J257" i="1"/>
  <c r="H267" i="1"/>
  <c r="F267" i="1"/>
  <c r="J267" i="1"/>
  <c r="F260" i="1"/>
  <c r="J260" i="1"/>
  <c r="H260" i="1"/>
  <c r="C134" i="1"/>
  <c r="D134" i="1"/>
  <c r="K68" i="1"/>
  <c r="L68" i="1" s="1"/>
  <c r="D418" i="1"/>
  <c r="D658" i="1" s="1"/>
  <c r="D530" i="1"/>
  <c r="D546" i="1" s="1"/>
  <c r="F85" i="1"/>
  <c r="E273" i="1"/>
  <c r="E432" i="1"/>
  <c r="E672" i="1" s="1"/>
  <c r="E544" i="1"/>
  <c r="G256" i="1"/>
  <c r="L256" i="1"/>
  <c r="G272" i="1"/>
  <c r="D668" i="1"/>
  <c r="I668" i="1" s="1"/>
  <c r="K668" i="1" s="1"/>
  <c r="H484" i="1"/>
  <c r="F270" i="1"/>
  <c r="J270" i="1"/>
  <c r="H270" i="1"/>
  <c r="E537" i="1"/>
  <c r="E425" i="1"/>
  <c r="E665" i="1" s="1"/>
  <c r="G665" i="1" s="1"/>
  <c r="H75" i="1"/>
  <c r="I294" i="1" s="1"/>
  <c r="F431" i="1"/>
  <c r="F543" i="1"/>
  <c r="F139" i="1"/>
  <c r="H221" i="1" s="1"/>
  <c r="I139" i="1"/>
  <c r="H139" i="1"/>
  <c r="J300" i="1"/>
  <c r="E358" i="1"/>
  <c r="J128" i="1"/>
  <c r="K128" i="1" s="1"/>
  <c r="E654" i="1"/>
  <c r="H470" i="1"/>
  <c r="C137" i="1"/>
  <c r="D137" i="1"/>
  <c r="E221" i="1"/>
  <c r="H353" i="1" s="1"/>
  <c r="H82" i="1"/>
  <c r="I301" i="1" s="1"/>
  <c r="I80" i="1"/>
  <c r="E430" i="1"/>
  <c r="E670" i="1" s="1"/>
  <c r="G670" i="1" s="1"/>
  <c r="E271" i="1"/>
  <c r="E542" i="1"/>
  <c r="J283" i="1"/>
  <c r="E341" i="1"/>
  <c r="L66" i="1"/>
  <c r="K84" i="1"/>
  <c r="K85" i="1"/>
  <c r="K86" i="1" s="1"/>
  <c r="C127" i="1"/>
  <c r="D127" i="1"/>
  <c r="I69" i="1"/>
  <c r="E531" i="1"/>
  <c r="E419" i="1"/>
  <c r="E659" i="1" s="1"/>
  <c r="C259" i="1"/>
  <c r="D259" i="1" s="1"/>
  <c r="F415" i="1"/>
  <c r="F527" i="1"/>
  <c r="J263" i="1"/>
  <c r="H263" i="1"/>
  <c r="F263" i="1"/>
  <c r="C145" i="1"/>
  <c r="D145" i="1"/>
  <c r="J292" i="1"/>
  <c r="E350" i="1"/>
  <c r="E667" i="1"/>
  <c r="G667" i="1" s="1"/>
  <c r="H483" i="1"/>
  <c r="C664" i="1"/>
  <c r="H664" i="1" s="1"/>
  <c r="J265" i="1"/>
  <c r="H265" i="1"/>
  <c r="F265" i="1"/>
  <c r="E422" i="1"/>
  <c r="E662" i="1" s="1"/>
  <c r="E534" i="1"/>
  <c r="C666" i="1"/>
  <c r="H666" i="1" s="1"/>
  <c r="H488" i="1"/>
  <c r="C672" i="1"/>
  <c r="H672" i="1" s="1"/>
  <c r="E342" i="1"/>
  <c r="J284" i="1"/>
  <c r="D673" i="1"/>
  <c r="E220" i="1"/>
  <c r="H352" i="1" s="1"/>
  <c r="D665" i="1"/>
  <c r="I663" i="1"/>
  <c r="J663" i="1" s="1"/>
  <c r="I133" i="1"/>
  <c r="F133" i="1"/>
  <c r="H215" i="1" s="1"/>
  <c r="H133" i="1"/>
  <c r="C670" i="1"/>
  <c r="H670" i="1" s="1"/>
  <c r="D138" i="1"/>
  <c r="C138" i="1"/>
  <c r="C141" i="1"/>
  <c r="D141" i="1"/>
  <c r="E262" i="1"/>
  <c r="I71" i="1"/>
  <c r="E533" i="1"/>
  <c r="E421" i="1"/>
  <c r="E661" i="1" s="1"/>
  <c r="E562" i="1"/>
  <c r="G535" i="1"/>
  <c r="I66" i="1"/>
  <c r="E257" i="1"/>
  <c r="E528" i="1"/>
  <c r="E416" i="1"/>
  <c r="E656" i="1" s="1"/>
  <c r="D656" i="1"/>
  <c r="F428" i="1"/>
  <c r="F540" i="1"/>
  <c r="I83" i="1"/>
  <c r="E274" i="1"/>
  <c r="E433" i="1"/>
  <c r="E673" i="1" s="1"/>
  <c r="G673" i="1" s="1"/>
  <c r="E545" i="1"/>
  <c r="H83" i="1"/>
  <c r="I302" i="1" s="1"/>
  <c r="C659" i="1"/>
  <c r="H659" i="1" s="1"/>
  <c r="C658" i="1"/>
  <c r="H658" i="1" s="1"/>
  <c r="G671" i="1"/>
  <c r="E426" i="1"/>
  <c r="E666" i="1" s="1"/>
  <c r="E267" i="1"/>
  <c r="E538" i="1"/>
  <c r="I76" i="1"/>
  <c r="G67" i="1"/>
  <c r="H67" i="1" s="1"/>
  <c r="E212" i="1"/>
  <c r="H344" i="1" s="1"/>
  <c r="C258" i="1"/>
  <c r="D258" i="1" s="1"/>
  <c r="C529" i="1"/>
  <c r="C546" i="1" s="1"/>
  <c r="C417" i="1"/>
  <c r="C435" i="1" s="1"/>
  <c r="C436" i="1" s="1"/>
  <c r="J67" i="1"/>
  <c r="L67" i="1" s="1"/>
  <c r="J289" i="1"/>
  <c r="E347" i="1"/>
  <c r="E11" i="2"/>
  <c r="E17" i="2"/>
  <c r="K14" i="2"/>
  <c r="E7" i="2"/>
  <c r="L261" i="1"/>
  <c r="G261" i="1"/>
  <c r="G268" i="1"/>
  <c r="C142" i="1"/>
  <c r="D142" i="1"/>
  <c r="C135" i="1"/>
  <c r="D135" i="1"/>
  <c r="F539" i="1"/>
  <c r="F427" i="1"/>
  <c r="F414" i="1"/>
  <c r="F526" i="1"/>
  <c r="J274" i="1"/>
  <c r="H274" i="1"/>
  <c r="F274" i="1"/>
  <c r="G660" i="1"/>
  <c r="H398" i="1"/>
  <c r="F144" i="1"/>
  <c r="H226" i="1" s="1"/>
  <c r="H144" i="1"/>
  <c r="I144" i="1"/>
  <c r="G423" i="1"/>
  <c r="F663" i="1"/>
  <c r="F271" i="1"/>
  <c r="H271" i="1"/>
  <c r="J271" i="1"/>
  <c r="G255" i="1"/>
  <c r="L255" i="1"/>
  <c r="C146" i="1"/>
  <c r="D146" i="1"/>
  <c r="H471" i="1"/>
  <c r="E655" i="1"/>
  <c r="G655" i="1" s="1"/>
  <c r="F660" i="1"/>
  <c r="G420" i="1"/>
  <c r="F262" i="1"/>
  <c r="H262" i="1"/>
  <c r="J262" i="1"/>
  <c r="H266" i="1"/>
  <c r="J266" i="1"/>
  <c r="F266" i="1"/>
  <c r="J296" i="1"/>
  <c r="E354" i="1"/>
  <c r="E84" i="1"/>
  <c r="E86" i="1" s="1"/>
  <c r="G68" i="1"/>
  <c r="H72" i="1"/>
  <c r="I291" i="1" s="1"/>
  <c r="F269" i="1"/>
  <c r="H269" i="1"/>
  <c r="J269" i="1"/>
  <c r="E541" i="1"/>
  <c r="H79" i="1"/>
  <c r="I298" i="1" s="1"/>
  <c r="E429" i="1"/>
  <c r="E669" i="1" s="1"/>
  <c r="G669" i="1" s="1"/>
  <c r="E217" i="1"/>
  <c r="H349" i="1" s="1"/>
  <c r="L69" i="1"/>
  <c r="C662" i="1"/>
  <c r="H662" i="1" s="1"/>
  <c r="C143" i="1"/>
  <c r="D143" i="1"/>
  <c r="F140" i="1"/>
  <c r="H222" i="1" s="1"/>
  <c r="H140" i="1"/>
  <c r="I140" i="1"/>
  <c r="H477" i="1"/>
  <c r="C661" i="1"/>
  <c r="H661" i="1" s="1"/>
  <c r="G264" i="1"/>
  <c r="E227" i="1"/>
  <c r="H359" i="1" s="1"/>
  <c r="D669" i="1"/>
  <c r="C656" i="1"/>
  <c r="C434" i="1"/>
  <c r="F84" i="1"/>
  <c r="F17" i="2"/>
  <c r="F12" i="2"/>
  <c r="K23" i="2" s="1"/>
  <c r="G532" i="1"/>
  <c r="E559" i="1"/>
  <c r="I74" i="1"/>
  <c r="E424" i="1"/>
  <c r="E664" i="1" s="1"/>
  <c r="E265" i="1"/>
  <c r="E536" i="1"/>
  <c r="I136" i="1"/>
  <c r="H136" i="1"/>
  <c r="F136" i="1"/>
  <c r="H218" i="1" s="1"/>
  <c r="K663" i="1" l="1"/>
  <c r="F86" i="1"/>
  <c r="L663" i="1"/>
  <c r="L85" i="1"/>
  <c r="L86" i="1" s="1"/>
  <c r="L84" i="1"/>
  <c r="E260" i="1"/>
  <c r="H472" i="1"/>
  <c r="D547" i="1"/>
  <c r="D548" i="1" s="1"/>
  <c r="H478" i="1"/>
  <c r="H486" i="1"/>
  <c r="E266" i="1"/>
  <c r="D275" i="1"/>
  <c r="I79" i="1"/>
  <c r="F429" i="1" s="1"/>
  <c r="H481" i="1"/>
  <c r="J84" i="1"/>
  <c r="J86" i="1" s="1"/>
  <c r="E270" i="1"/>
  <c r="D435" i="1"/>
  <c r="H482" i="1"/>
  <c r="L668" i="1"/>
  <c r="J668" i="1"/>
  <c r="I669" i="1"/>
  <c r="L669" i="1" s="1"/>
  <c r="J299" i="1"/>
  <c r="E357" i="1"/>
  <c r="F135" i="1"/>
  <c r="H217" i="1" s="1"/>
  <c r="H135" i="1"/>
  <c r="I135" i="1"/>
  <c r="D436" i="1"/>
  <c r="G265" i="1"/>
  <c r="I667" i="1"/>
  <c r="L667" i="1" s="1"/>
  <c r="J667" i="1"/>
  <c r="K667" i="1"/>
  <c r="G527" i="1"/>
  <c r="E554" i="1"/>
  <c r="F210" i="1"/>
  <c r="G210" i="1" s="1"/>
  <c r="I210" i="1" s="1"/>
  <c r="H532" i="1"/>
  <c r="H656" i="1"/>
  <c r="I264" i="1"/>
  <c r="I350" i="1" s="1"/>
  <c r="J350" i="1" s="1"/>
  <c r="F143" i="1"/>
  <c r="H225" i="1" s="1"/>
  <c r="H143" i="1"/>
  <c r="I143" i="1"/>
  <c r="E418" i="1"/>
  <c r="E658" i="1" s="1"/>
  <c r="G658" i="1" s="1"/>
  <c r="E530" i="1"/>
  <c r="H68" i="1"/>
  <c r="I287" i="1" s="1"/>
  <c r="J290" i="1"/>
  <c r="E348" i="1"/>
  <c r="H146" i="1"/>
  <c r="I146" i="1"/>
  <c r="F146" i="1"/>
  <c r="H228" i="1" s="1"/>
  <c r="I660" i="1"/>
  <c r="L660" i="1" s="1"/>
  <c r="K660" i="1"/>
  <c r="G526" i="1"/>
  <c r="E553" i="1"/>
  <c r="G666" i="1"/>
  <c r="D434" i="1"/>
  <c r="G661" i="1"/>
  <c r="G415" i="1"/>
  <c r="F655" i="1"/>
  <c r="F127" i="1"/>
  <c r="I127" i="1"/>
  <c r="H127" i="1"/>
  <c r="I137" i="1"/>
  <c r="F137" i="1"/>
  <c r="H219" i="1" s="1"/>
  <c r="H137" i="1"/>
  <c r="J139" i="1"/>
  <c r="K139" i="1" s="1"/>
  <c r="F221" i="1"/>
  <c r="G221" i="1" s="1"/>
  <c r="I221" i="1" s="1"/>
  <c r="K665" i="1"/>
  <c r="I665" i="1"/>
  <c r="L665" i="1" s="1"/>
  <c r="I82" i="1"/>
  <c r="E343" i="1"/>
  <c r="J285" i="1"/>
  <c r="H142" i="1"/>
  <c r="I142" i="1"/>
  <c r="F142" i="1"/>
  <c r="H224" i="1" s="1"/>
  <c r="F259" i="1"/>
  <c r="H259" i="1"/>
  <c r="J259" i="1"/>
  <c r="L128" i="1"/>
  <c r="I272" i="1"/>
  <c r="E346" i="1"/>
  <c r="J288" i="1"/>
  <c r="G260" i="1"/>
  <c r="L260" i="1"/>
  <c r="G257" i="1"/>
  <c r="L257" i="1"/>
  <c r="H420" i="1"/>
  <c r="I286" i="1"/>
  <c r="L274" i="1"/>
  <c r="G274" i="1"/>
  <c r="I67" i="1"/>
  <c r="E258" i="1"/>
  <c r="E417" i="1"/>
  <c r="E657" i="1" s="1"/>
  <c r="E674" i="1" s="1"/>
  <c r="E529" i="1"/>
  <c r="G84" i="1"/>
  <c r="G85" i="1"/>
  <c r="I108" i="1"/>
  <c r="I109" i="1"/>
  <c r="I145" i="1"/>
  <c r="F145" i="1"/>
  <c r="H227" i="1" s="1"/>
  <c r="H145" i="1"/>
  <c r="I75" i="1"/>
  <c r="J297" i="1"/>
  <c r="E355" i="1"/>
  <c r="G266" i="1"/>
  <c r="C276" i="1"/>
  <c r="F667" i="1"/>
  <c r="G427" i="1"/>
  <c r="H85" i="1"/>
  <c r="F258" i="1"/>
  <c r="H258" i="1"/>
  <c r="J258" i="1"/>
  <c r="F433" i="1"/>
  <c r="F545" i="1"/>
  <c r="H480" i="1"/>
  <c r="G263" i="1"/>
  <c r="C129" i="1"/>
  <c r="D129" i="1"/>
  <c r="F430" i="1"/>
  <c r="F542" i="1"/>
  <c r="I256" i="1"/>
  <c r="K256" i="1" s="1"/>
  <c r="I342" i="1"/>
  <c r="J342" i="1" s="1"/>
  <c r="C131" i="1"/>
  <c r="D131" i="1"/>
  <c r="G267" i="1"/>
  <c r="I671" i="1"/>
  <c r="L671" i="1" s="1"/>
  <c r="F533" i="1"/>
  <c r="F421" i="1"/>
  <c r="F11" i="2"/>
  <c r="C275" i="1"/>
  <c r="H489" i="1"/>
  <c r="I670" i="1"/>
  <c r="L670" i="1" s="1"/>
  <c r="K670" i="1"/>
  <c r="J295" i="1"/>
  <c r="E353" i="1"/>
  <c r="D132" i="1"/>
  <c r="C132" i="1"/>
  <c r="E352" i="1"/>
  <c r="J294" i="1"/>
  <c r="K655" i="1"/>
  <c r="I655" i="1"/>
  <c r="L655" i="1" s="1"/>
  <c r="K341" i="1"/>
  <c r="C341" i="1"/>
  <c r="J144" i="1"/>
  <c r="E360" i="1"/>
  <c r="J302" i="1"/>
  <c r="E566" i="1"/>
  <c r="G539" i="1"/>
  <c r="I261" i="1"/>
  <c r="K261" i="1" s="1"/>
  <c r="D130" i="1"/>
  <c r="C130" i="1"/>
  <c r="F426" i="1"/>
  <c r="F538" i="1"/>
  <c r="G540" i="1"/>
  <c r="E567" i="1"/>
  <c r="F528" i="1"/>
  <c r="F416" i="1"/>
  <c r="I141" i="1"/>
  <c r="H141" i="1"/>
  <c r="F141" i="1"/>
  <c r="H223" i="1" s="1"/>
  <c r="G662" i="1"/>
  <c r="E213" i="1"/>
  <c r="H345" i="1" s="1"/>
  <c r="H362" i="1" s="1"/>
  <c r="F419" i="1"/>
  <c r="F531" i="1"/>
  <c r="C547" i="1"/>
  <c r="C548" i="1" s="1"/>
  <c r="E570" i="1"/>
  <c r="G543" i="1"/>
  <c r="E356" i="1"/>
  <c r="J298" i="1"/>
  <c r="G273" i="1"/>
  <c r="J136" i="1"/>
  <c r="F218" i="1" s="1"/>
  <c r="G218" i="1" s="1"/>
  <c r="I218" i="1" s="1"/>
  <c r="G271" i="1"/>
  <c r="D675" i="1"/>
  <c r="D674" i="1"/>
  <c r="E351" i="1"/>
  <c r="J293" i="1"/>
  <c r="L262" i="1"/>
  <c r="G262" i="1"/>
  <c r="G414" i="1"/>
  <c r="F654" i="1"/>
  <c r="K673" i="1"/>
  <c r="I673" i="1"/>
  <c r="L673" i="1" s="1"/>
  <c r="J133" i="1"/>
  <c r="F215" i="1" s="1"/>
  <c r="G215" i="1" s="1"/>
  <c r="I215" i="1" s="1"/>
  <c r="G659" i="1"/>
  <c r="G654" i="1"/>
  <c r="H423" i="1"/>
  <c r="C479" i="1" s="1"/>
  <c r="J423" i="1"/>
  <c r="I268" i="1"/>
  <c r="E263" i="1"/>
  <c r="K342" i="1"/>
  <c r="C342" i="1"/>
  <c r="F342" i="1" s="1"/>
  <c r="G664" i="1"/>
  <c r="H485" i="1"/>
  <c r="J140" i="1"/>
  <c r="K140" i="1" s="1"/>
  <c r="F424" i="1"/>
  <c r="F536" i="1"/>
  <c r="G269" i="1"/>
  <c r="I255" i="1"/>
  <c r="I341" i="1"/>
  <c r="C347" i="1"/>
  <c r="F347" i="1" s="1"/>
  <c r="K347" i="1"/>
  <c r="C657" i="1"/>
  <c r="H657" i="1" s="1"/>
  <c r="H475" i="1"/>
  <c r="G428" i="1"/>
  <c r="F668" i="1"/>
  <c r="H535" i="1"/>
  <c r="I535" i="1" s="1"/>
  <c r="J535" i="1" s="1"/>
  <c r="H138" i="1"/>
  <c r="I138" i="1"/>
  <c r="F138" i="1"/>
  <c r="H220" i="1" s="1"/>
  <c r="I72" i="1"/>
  <c r="J291" i="1"/>
  <c r="E349" i="1"/>
  <c r="G431" i="1"/>
  <c r="F671" i="1"/>
  <c r="G270" i="1"/>
  <c r="L270" i="1"/>
  <c r="G672" i="1"/>
  <c r="H134" i="1"/>
  <c r="I134" i="1"/>
  <c r="F134" i="1"/>
  <c r="H216" i="1" s="1"/>
  <c r="D276" i="1"/>
  <c r="J301" i="1"/>
  <c r="E359" i="1"/>
  <c r="J665" i="1" l="1"/>
  <c r="J669" i="1"/>
  <c r="H474" i="1"/>
  <c r="K268" i="1"/>
  <c r="L268" i="1"/>
  <c r="K272" i="1"/>
  <c r="L272" i="1"/>
  <c r="K535" i="1"/>
  <c r="E230" i="1"/>
  <c r="C277" i="1"/>
  <c r="I423" i="1"/>
  <c r="G86" i="1"/>
  <c r="F192" i="1" s="1"/>
  <c r="F322" i="1" s="1"/>
  <c r="D277" i="1"/>
  <c r="G681" i="1" s="1"/>
  <c r="J673" i="1"/>
  <c r="K669" i="1"/>
  <c r="F222" i="1"/>
  <c r="G222" i="1" s="1"/>
  <c r="I222" i="1" s="1"/>
  <c r="J670" i="1"/>
  <c r="F541" i="1"/>
  <c r="E568" i="1" s="1"/>
  <c r="J660" i="1"/>
  <c r="C675" i="1"/>
  <c r="K136" i="1"/>
  <c r="L136" i="1" s="1"/>
  <c r="K671" i="1"/>
  <c r="E259" i="1"/>
  <c r="G657" i="1"/>
  <c r="E276" i="1"/>
  <c r="H275" i="1"/>
  <c r="H84" i="1"/>
  <c r="H86" i="1" s="1"/>
  <c r="G192" i="1" s="1"/>
  <c r="G322" i="1" s="1"/>
  <c r="I68" i="1"/>
  <c r="I84" i="1" s="1"/>
  <c r="J341" i="1"/>
  <c r="F130" i="1"/>
  <c r="H212" i="1" s="1"/>
  <c r="H130" i="1"/>
  <c r="I130" i="1"/>
  <c r="I266" i="1"/>
  <c r="I352" i="1"/>
  <c r="J352" i="1" s="1"/>
  <c r="J146" i="1"/>
  <c r="F228" i="1" s="1"/>
  <c r="G228" i="1" s="1"/>
  <c r="I228" i="1" s="1"/>
  <c r="H129" i="1"/>
  <c r="I129" i="1"/>
  <c r="F129" i="1"/>
  <c r="H211" i="1" s="1"/>
  <c r="C346" i="1"/>
  <c r="F346" i="1" s="1"/>
  <c r="K346" i="1"/>
  <c r="I270" i="1"/>
  <c r="K270" i="1" s="1"/>
  <c r="L140" i="1"/>
  <c r="I354" i="1"/>
  <c r="J354" i="1" s="1"/>
  <c r="J654" i="1"/>
  <c r="I654" i="1"/>
  <c r="K654" i="1" s="1"/>
  <c r="G538" i="1"/>
  <c r="E565" i="1"/>
  <c r="J671" i="1"/>
  <c r="E434" i="1"/>
  <c r="E572" i="1"/>
  <c r="G545" i="1"/>
  <c r="J145" i="1"/>
  <c r="K145" i="1" s="1"/>
  <c r="E546" i="1"/>
  <c r="E547" i="1"/>
  <c r="J127" i="1"/>
  <c r="F209" i="1"/>
  <c r="I658" i="1"/>
  <c r="L658" i="1" s="1"/>
  <c r="C674" i="1"/>
  <c r="I265" i="1"/>
  <c r="I351" i="1" s="1"/>
  <c r="J351" i="1" s="1"/>
  <c r="F666" i="1"/>
  <c r="G426" i="1"/>
  <c r="C147" i="1"/>
  <c r="I666" i="1"/>
  <c r="L666" i="1" s="1"/>
  <c r="K659" i="1"/>
  <c r="I659" i="1"/>
  <c r="L659" i="1" s="1"/>
  <c r="C343" i="1"/>
  <c r="F343" i="1" s="1"/>
  <c r="K343" i="1"/>
  <c r="I358" i="1"/>
  <c r="J358" i="1" s="1"/>
  <c r="J142" i="1"/>
  <c r="F224" i="1" s="1"/>
  <c r="G224" i="1" s="1"/>
  <c r="I224" i="1" s="1"/>
  <c r="F418" i="1"/>
  <c r="F530" i="1"/>
  <c r="H674" i="1"/>
  <c r="H675" i="1"/>
  <c r="H527" i="1"/>
  <c r="I527" i="1"/>
  <c r="J527" i="1"/>
  <c r="K527" i="1"/>
  <c r="J137" i="1"/>
  <c r="H361" i="1"/>
  <c r="G433" i="1"/>
  <c r="F673" i="1"/>
  <c r="J134" i="1"/>
  <c r="F216" i="1" s="1"/>
  <c r="G216" i="1" s="1"/>
  <c r="I216" i="1" s="1"/>
  <c r="K134" i="1"/>
  <c r="H428" i="1"/>
  <c r="I428" i="1" s="1"/>
  <c r="K428" i="1" s="1"/>
  <c r="E344" i="1"/>
  <c r="J286" i="1"/>
  <c r="J276" i="1"/>
  <c r="J275" i="1"/>
  <c r="I257" i="1"/>
  <c r="K257" i="1" s="1"/>
  <c r="I343" i="1"/>
  <c r="J343" i="1" s="1"/>
  <c r="I664" i="1"/>
  <c r="L664" i="1" s="1"/>
  <c r="K664" i="1"/>
  <c r="E558" i="1"/>
  <c r="G531" i="1"/>
  <c r="J655" i="1"/>
  <c r="I274" i="1"/>
  <c r="K274" i="1" s="1"/>
  <c r="I360" i="1"/>
  <c r="J360" i="1" s="1"/>
  <c r="I269" i="1"/>
  <c r="I355" i="1" s="1"/>
  <c r="J355" i="1" s="1"/>
  <c r="C470" i="1"/>
  <c r="H414" i="1"/>
  <c r="I414" i="1"/>
  <c r="J414" i="1"/>
  <c r="K414" i="1"/>
  <c r="D676" i="1"/>
  <c r="G419" i="1"/>
  <c r="F659" i="1"/>
  <c r="I347" i="1"/>
  <c r="J347" i="1" s="1"/>
  <c r="L347" i="1" s="1"/>
  <c r="F341" i="1"/>
  <c r="I131" i="1"/>
  <c r="F131" i="1"/>
  <c r="H213" i="1" s="1"/>
  <c r="H131" i="1"/>
  <c r="I263" i="1"/>
  <c r="G258" i="1"/>
  <c r="I110" i="1"/>
  <c r="C360" i="1"/>
  <c r="F360" i="1" s="1"/>
  <c r="K360" i="1"/>
  <c r="I260" i="1"/>
  <c r="K260" i="1" s="1"/>
  <c r="E345" i="1"/>
  <c r="J287" i="1"/>
  <c r="F432" i="1"/>
  <c r="F544" i="1"/>
  <c r="K415" i="1"/>
  <c r="C471" i="1"/>
  <c r="H415" i="1"/>
  <c r="J526" i="1"/>
  <c r="H526" i="1"/>
  <c r="J135" i="1"/>
  <c r="F217" i="1" s="1"/>
  <c r="G217" i="1" s="1"/>
  <c r="I217" i="1" s="1"/>
  <c r="E275" i="1"/>
  <c r="E277" i="1" s="1"/>
  <c r="J141" i="1"/>
  <c r="F223" i="1" s="1"/>
  <c r="G223" i="1" s="1"/>
  <c r="I223" i="1" s="1"/>
  <c r="E569" i="1"/>
  <c r="G542" i="1"/>
  <c r="E560" i="1"/>
  <c r="G533" i="1"/>
  <c r="G430" i="1"/>
  <c r="F670" i="1"/>
  <c r="K672" i="1"/>
  <c r="I672" i="1"/>
  <c r="L672" i="1" s="1"/>
  <c r="K255" i="1"/>
  <c r="G416" i="1"/>
  <c r="F656" i="1"/>
  <c r="F226" i="1"/>
  <c r="G226" i="1" s="1"/>
  <c r="I226" i="1" s="1"/>
  <c r="G429" i="1"/>
  <c r="F669" i="1"/>
  <c r="H209" i="1"/>
  <c r="I273" i="1"/>
  <c r="I359" i="1"/>
  <c r="J359" i="1" s="1"/>
  <c r="K144" i="1"/>
  <c r="L144" i="1" s="1"/>
  <c r="J143" i="1"/>
  <c r="K143" i="1" s="1"/>
  <c r="J138" i="1"/>
  <c r="K138" i="1" s="1"/>
  <c r="G536" i="1"/>
  <c r="E563" i="1"/>
  <c r="I262" i="1"/>
  <c r="K262" i="1" s="1"/>
  <c r="H363" i="1"/>
  <c r="H540" i="1"/>
  <c r="I540" i="1" s="1"/>
  <c r="J540" i="1" s="1"/>
  <c r="K539" i="1"/>
  <c r="H539" i="1"/>
  <c r="I539" i="1" s="1"/>
  <c r="J539" i="1" s="1"/>
  <c r="L342" i="1"/>
  <c r="F537" i="1"/>
  <c r="F425" i="1"/>
  <c r="I420" i="1"/>
  <c r="I532" i="1"/>
  <c r="G421" i="1"/>
  <c r="F661" i="1"/>
  <c r="F422" i="1"/>
  <c r="F534" i="1"/>
  <c r="I267" i="1"/>
  <c r="I353" i="1" s="1"/>
  <c r="J353" i="1" s="1"/>
  <c r="F417" i="1"/>
  <c r="F529" i="1"/>
  <c r="L139" i="1"/>
  <c r="C356" i="1"/>
  <c r="F356" i="1" s="1"/>
  <c r="K356" i="1"/>
  <c r="G528" i="1"/>
  <c r="E555" i="1"/>
  <c r="H473" i="1"/>
  <c r="L535" i="1"/>
  <c r="F562" i="1" s="1"/>
  <c r="K133" i="1"/>
  <c r="L133" i="1" s="1"/>
  <c r="I271" i="1"/>
  <c r="H431" i="1"/>
  <c r="C487" i="1" s="1"/>
  <c r="F664" i="1"/>
  <c r="G424" i="1"/>
  <c r="E675" i="1"/>
  <c r="E676" i="1" s="1"/>
  <c r="F681" i="1" s="1"/>
  <c r="K348" i="1"/>
  <c r="C348" i="1"/>
  <c r="F348" i="1" s="1"/>
  <c r="H543" i="1"/>
  <c r="I543" i="1" s="1"/>
  <c r="J543" i="1" s="1"/>
  <c r="J662" i="1"/>
  <c r="I662" i="1"/>
  <c r="L662" i="1" s="1"/>
  <c r="F132" i="1"/>
  <c r="H214" i="1" s="1"/>
  <c r="H132" i="1"/>
  <c r="I132" i="1"/>
  <c r="K427" i="1"/>
  <c r="H427" i="1"/>
  <c r="I427" i="1" s="1"/>
  <c r="E435" i="1"/>
  <c r="E436" i="1" s="1"/>
  <c r="G656" i="1"/>
  <c r="C476" i="1"/>
  <c r="G259" i="1"/>
  <c r="C148" i="1"/>
  <c r="I661" i="1"/>
  <c r="L661" i="1" s="1"/>
  <c r="K264" i="1"/>
  <c r="L264" i="1"/>
  <c r="E229" i="1"/>
  <c r="K233" i="1" s="1"/>
  <c r="K358" i="1" l="1"/>
  <c r="C358" i="1"/>
  <c r="F358" i="1" s="1"/>
  <c r="C483" i="1"/>
  <c r="F483" i="1" s="1"/>
  <c r="K483" i="1" s="1"/>
  <c r="J661" i="1"/>
  <c r="J532" i="1"/>
  <c r="K532" i="1"/>
  <c r="K540" i="1"/>
  <c r="C484" i="1"/>
  <c r="K658" i="1"/>
  <c r="F225" i="1"/>
  <c r="G225" i="1" s="1"/>
  <c r="I225" i="1" s="1"/>
  <c r="K543" i="1"/>
  <c r="E479" i="1"/>
  <c r="F479" i="1" s="1"/>
  <c r="K479" i="1" s="1"/>
  <c r="K423" i="1"/>
  <c r="I479" i="1" s="1"/>
  <c r="J479" i="1" s="1"/>
  <c r="C149" i="1"/>
  <c r="I85" i="1"/>
  <c r="I356" i="1"/>
  <c r="J356" i="1" s="1"/>
  <c r="K266" i="1"/>
  <c r="L266" i="1"/>
  <c r="K269" i="1"/>
  <c r="L269" i="1"/>
  <c r="J666" i="1"/>
  <c r="I348" i="1"/>
  <c r="J348" i="1" s="1"/>
  <c r="L348" i="1" s="1"/>
  <c r="F227" i="1"/>
  <c r="G227" i="1" s="1"/>
  <c r="I227" i="1" s="1"/>
  <c r="L420" i="1"/>
  <c r="K420" i="1"/>
  <c r="K354" i="1"/>
  <c r="L354" i="1" s="1"/>
  <c r="C354" i="1"/>
  <c r="F354" i="1" s="1"/>
  <c r="L358" i="1"/>
  <c r="L423" i="1"/>
  <c r="J672" i="1"/>
  <c r="J664" i="1"/>
  <c r="H676" i="1"/>
  <c r="F682" i="1" s="1"/>
  <c r="C676" i="1"/>
  <c r="E483" i="1"/>
  <c r="J427" i="1"/>
  <c r="I483" i="1" s="1"/>
  <c r="J483" i="1" s="1"/>
  <c r="L483" i="1" s="1"/>
  <c r="F434" i="1"/>
  <c r="K666" i="1"/>
  <c r="L356" i="1"/>
  <c r="K135" i="1"/>
  <c r="H147" i="1"/>
  <c r="L343" i="1"/>
  <c r="F683" i="1"/>
  <c r="I657" i="1"/>
  <c r="K657" i="1" s="1"/>
  <c r="I148" i="1"/>
  <c r="I149" i="1" s="1"/>
  <c r="K141" i="1"/>
  <c r="L141" i="1" s="1"/>
  <c r="G541" i="1"/>
  <c r="K273" i="1"/>
  <c r="L273" i="1"/>
  <c r="K271" i="1"/>
  <c r="L271" i="1"/>
  <c r="K263" i="1"/>
  <c r="L263" i="1"/>
  <c r="I147" i="1"/>
  <c r="E484" i="1"/>
  <c r="F484" i="1" s="1"/>
  <c r="K484" i="1" s="1"/>
  <c r="J428" i="1"/>
  <c r="I484" i="1" s="1"/>
  <c r="J484" i="1" s="1"/>
  <c r="G325" i="1"/>
  <c r="G591" i="1"/>
  <c r="G497" i="1"/>
  <c r="L137" i="1"/>
  <c r="H542" i="1"/>
  <c r="I542" i="1" s="1"/>
  <c r="K542" i="1" s="1"/>
  <c r="H419" i="1"/>
  <c r="I419" i="1"/>
  <c r="E475" i="1" s="1"/>
  <c r="C475" i="1"/>
  <c r="F475" i="1" s="1"/>
  <c r="K475" i="1" s="1"/>
  <c r="K267" i="1"/>
  <c r="L267" i="1"/>
  <c r="L145" i="1"/>
  <c r="H424" i="1"/>
  <c r="C480" i="1" s="1"/>
  <c r="L360" i="1"/>
  <c r="K661" i="1"/>
  <c r="K662" i="1"/>
  <c r="H491" i="1"/>
  <c r="H490" i="1"/>
  <c r="G529" i="1"/>
  <c r="E556" i="1"/>
  <c r="F546" i="1"/>
  <c r="E561" i="1"/>
  <c r="G534" i="1"/>
  <c r="E564" i="1"/>
  <c r="G537" i="1"/>
  <c r="F147" i="1"/>
  <c r="L135" i="1"/>
  <c r="I346" i="1"/>
  <c r="J346" i="1" s="1"/>
  <c r="L346" i="1" s="1"/>
  <c r="I349" i="1"/>
  <c r="J349" i="1" s="1"/>
  <c r="F470" i="1"/>
  <c r="K137" i="1"/>
  <c r="L532" i="1"/>
  <c r="F559" i="1" s="1"/>
  <c r="K142" i="1"/>
  <c r="L142" i="1" s="1"/>
  <c r="J658" i="1"/>
  <c r="J130" i="1"/>
  <c r="K130" i="1" s="1"/>
  <c r="H528" i="1"/>
  <c r="I528" i="1"/>
  <c r="K528" i="1" s="1"/>
  <c r="J528" i="1"/>
  <c r="H421" i="1"/>
  <c r="C477" i="1" s="1"/>
  <c r="K421" i="1"/>
  <c r="I357" i="1"/>
  <c r="J357" i="1" s="1"/>
  <c r="J545" i="1"/>
  <c r="H545" i="1"/>
  <c r="I545" i="1" s="1"/>
  <c r="K545" i="1" s="1"/>
  <c r="I656" i="1"/>
  <c r="L656" i="1" s="1"/>
  <c r="J656" i="1"/>
  <c r="J132" i="1"/>
  <c r="K132" i="1" s="1"/>
  <c r="L138" i="1"/>
  <c r="H416" i="1"/>
  <c r="C472" i="1" s="1"/>
  <c r="H430" i="1"/>
  <c r="I430" i="1" s="1"/>
  <c r="J430" i="1"/>
  <c r="G432" i="1"/>
  <c r="F672" i="1"/>
  <c r="I112" i="1"/>
  <c r="G124" i="1" s="1"/>
  <c r="C124" i="1"/>
  <c r="I470" i="1"/>
  <c r="L428" i="1"/>
  <c r="H433" i="1"/>
  <c r="C489" i="1" s="1"/>
  <c r="J433" i="1"/>
  <c r="F658" i="1"/>
  <c r="G418" i="1"/>
  <c r="K265" i="1"/>
  <c r="L265" i="1"/>
  <c r="I259" i="1"/>
  <c r="I345" i="1"/>
  <c r="J345" i="1" s="1"/>
  <c r="J429" i="1"/>
  <c r="H429" i="1"/>
  <c r="I429" i="1" s="1"/>
  <c r="E485" i="1" s="1"/>
  <c r="C485" i="1"/>
  <c r="J131" i="1"/>
  <c r="F213" i="1" s="1"/>
  <c r="G213" i="1" s="1"/>
  <c r="I213" i="1" s="1"/>
  <c r="G209" i="1"/>
  <c r="K146" i="1"/>
  <c r="L146" i="1" s="1"/>
  <c r="H536" i="1"/>
  <c r="I536" i="1"/>
  <c r="J536" i="1"/>
  <c r="K536" i="1"/>
  <c r="G544" i="1"/>
  <c r="E571" i="1"/>
  <c r="K127" i="1"/>
  <c r="L127" i="1" s="1"/>
  <c r="L341" i="1"/>
  <c r="E476" i="1"/>
  <c r="F476" i="1" s="1"/>
  <c r="K476" i="1" s="1"/>
  <c r="J420" i="1"/>
  <c r="I476" i="1" s="1"/>
  <c r="J476" i="1" s="1"/>
  <c r="L540" i="1"/>
  <c r="F567" i="1" s="1"/>
  <c r="F220" i="1"/>
  <c r="G220" i="1" s="1"/>
  <c r="I220" i="1" s="1"/>
  <c r="F148" i="1"/>
  <c r="H533" i="1"/>
  <c r="I533" i="1" s="1"/>
  <c r="I258" i="1"/>
  <c r="I344" i="1" s="1"/>
  <c r="G275" i="1"/>
  <c r="E470" i="1"/>
  <c r="H148" i="1"/>
  <c r="H149" i="1" s="1"/>
  <c r="J129" i="1"/>
  <c r="F211" i="1" s="1"/>
  <c r="G211" i="1" s="1"/>
  <c r="I211" i="1" s="1"/>
  <c r="K129" i="1"/>
  <c r="E231" i="1"/>
  <c r="G417" i="1"/>
  <c r="F657" i="1"/>
  <c r="F435" i="1"/>
  <c r="G422" i="1"/>
  <c r="F662" i="1"/>
  <c r="E361" i="1"/>
  <c r="E362" i="1"/>
  <c r="E363" i="1" s="1"/>
  <c r="J538" i="1"/>
  <c r="H538" i="1"/>
  <c r="I538" i="1" s="1"/>
  <c r="K538" i="1" s="1"/>
  <c r="H426" i="1"/>
  <c r="I426" i="1"/>
  <c r="E482" i="1" s="1"/>
  <c r="J426" i="1"/>
  <c r="L543" i="1"/>
  <c r="F570" i="1" s="1"/>
  <c r="L134" i="1"/>
  <c r="L654" i="1"/>
  <c r="C350" i="1"/>
  <c r="F350" i="1" s="1"/>
  <c r="K350" i="1"/>
  <c r="L350" i="1" s="1"/>
  <c r="I526" i="1"/>
  <c r="G530" i="1"/>
  <c r="E557" i="1"/>
  <c r="F497" i="1"/>
  <c r="F591" i="1"/>
  <c r="L427" i="1"/>
  <c r="I431" i="1"/>
  <c r="K431" i="1" s="1"/>
  <c r="I86" i="1"/>
  <c r="H192" i="1" s="1"/>
  <c r="H322" i="1" s="1"/>
  <c r="G425" i="1"/>
  <c r="F665" i="1"/>
  <c r="L539" i="1"/>
  <c r="F566" i="1" s="1"/>
  <c r="L143" i="1"/>
  <c r="H229" i="1"/>
  <c r="H230" i="1"/>
  <c r="I415" i="1"/>
  <c r="L414" i="1"/>
  <c r="H531" i="1"/>
  <c r="J277" i="1"/>
  <c r="G324" i="1" s="1"/>
  <c r="G326" i="1" s="1"/>
  <c r="F219" i="1"/>
  <c r="G219" i="1" s="1"/>
  <c r="I219" i="1" s="1"/>
  <c r="L527" i="1"/>
  <c r="F554" i="1" s="1"/>
  <c r="J659" i="1"/>
  <c r="E548" i="1"/>
  <c r="F547" i="1"/>
  <c r="F548" i="1" s="1"/>
  <c r="I674" i="1" l="1"/>
  <c r="I421" i="1"/>
  <c r="J542" i="1"/>
  <c r="K355" i="1"/>
  <c r="L355" i="1" s="1"/>
  <c r="C355" i="1"/>
  <c r="F355" i="1" s="1"/>
  <c r="F436" i="1"/>
  <c r="H591" i="1" s="1"/>
  <c r="H594" i="1" s="1"/>
  <c r="K352" i="1"/>
  <c r="L352" i="1" s="1"/>
  <c r="C352" i="1"/>
  <c r="F352" i="1" s="1"/>
  <c r="F212" i="1"/>
  <c r="G212" i="1" s="1"/>
  <c r="I212" i="1" s="1"/>
  <c r="L479" i="1"/>
  <c r="K131" i="1"/>
  <c r="L131" i="1" s="1"/>
  <c r="K656" i="1"/>
  <c r="K674" i="1" s="1"/>
  <c r="K419" i="1"/>
  <c r="J533" i="1"/>
  <c r="K533" i="1"/>
  <c r="H541" i="1"/>
  <c r="I675" i="1"/>
  <c r="I676" i="1" s="1"/>
  <c r="G682" i="1" s="1"/>
  <c r="G683" i="1" s="1"/>
  <c r="L528" i="1"/>
  <c r="F555" i="1" s="1"/>
  <c r="C357" i="1"/>
  <c r="F357" i="1" s="1"/>
  <c r="K357" i="1"/>
  <c r="L357" i="1" s="1"/>
  <c r="K675" i="1"/>
  <c r="K676" i="1" s="1"/>
  <c r="J657" i="1"/>
  <c r="J675" i="1" s="1"/>
  <c r="F675" i="1"/>
  <c r="I433" i="1"/>
  <c r="E489" i="1" s="1"/>
  <c r="F489" i="1" s="1"/>
  <c r="K489" i="1" s="1"/>
  <c r="K359" i="1"/>
  <c r="L359" i="1" s="1"/>
  <c r="C359" i="1"/>
  <c r="F359" i="1" s="1"/>
  <c r="C349" i="1"/>
  <c r="F349" i="1" s="1"/>
  <c r="K349" i="1"/>
  <c r="L349" i="1" s="1"/>
  <c r="L657" i="1"/>
  <c r="L674" i="1" s="1"/>
  <c r="F674" i="1"/>
  <c r="E486" i="1"/>
  <c r="K430" i="1"/>
  <c r="I486" i="1" s="1"/>
  <c r="J486" i="1" s="1"/>
  <c r="H544" i="1"/>
  <c r="I544" i="1" s="1"/>
  <c r="J544" i="1" s="1"/>
  <c r="K544" i="1"/>
  <c r="J674" i="1"/>
  <c r="C353" i="1"/>
  <c r="F353" i="1" s="1"/>
  <c r="K353" i="1"/>
  <c r="L353" i="1" s="1"/>
  <c r="H432" i="1"/>
  <c r="I432" i="1" s="1"/>
  <c r="K432" i="1"/>
  <c r="H537" i="1"/>
  <c r="H425" i="1"/>
  <c r="I425" i="1" s="1"/>
  <c r="J425" i="1" s="1"/>
  <c r="K426" i="1"/>
  <c r="I482" i="1" s="1"/>
  <c r="J482" i="1" s="1"/>
  <c r="E471" i="1"/>
  <c r="F471" i="1" s="1"/>
  <c r="K471" i="1" s="1"/>
  <c r="J415" i="1"/>
  <c r="K526" i="1"/>
  <c r="J344" i="1"/>
  <c r="I361" i="1"/>
  <c r="I362" i="1"/>
  <c r="K429" i="1"/>
  <c r="I485" i="1" s="1"/>
  <c r="J485" i="1" s="1"/>
  <c r="L485" i="1" s="1"/>
  <c r="G127" i="1"/>
  <c r="G337" i="1"/>
  <c r="G341" i="1" s="1"/>
  <c r="L526" i="1"/>
  <c r="L484" i="1"/>
  <c r="L476" i="1"/>
  <c r="L132" i="1"/>
  <c r="K470" i="1"/>
  <c r="L426" i="1"/>
  <c r="K351" i="1"/>
  <c r="L351" i="1" s="1"/>
  <c r="C351" i="1"/>
  <c r="F351" i="1" s="1"/>
  <c r="C482" i="1"/>
  <c r="F482" i="1" s="1"/>
  <c r="K482" i="1" s="1"/>
  <c r="F214" i="1"/>
  <c r="H418" i="1"/>
  <c r="I424" i="1"/>
  <c r="H530" i="1"/>
  <c r="I530" i="1" s="1"/>
  <c r="J530" i="1" s="1"/>
  <c r="K530" i="1"/>
  <c r="L129" i="1"/>
  <c r="L533" i="1"/>
  <c r="F560" i="1" s="1"/>
  <c r="K259" i="1"/>
  <c r="L259" i="1"/>
  <c r="J147" i="1"/>
  <c r="H534" i="1"/>
  <c r="I534" i="1"/>
  <c r="K534" i="1" s="1"/>
  <c r="L419" i="1"/>
  <c r="L430" i="1"/>
  <c r="L542" i="1"/>
  <c r="F569" i="1" s="1"/>
  <c r="H492" i="1"/>
  <c r="L421" i="1"/>
  <c r="E487" i="1"/>
  <c r="F487" i="1" s="1"/>
  <c r="K487" i="1" s="1"/>
  <c r="J431" i="1"/>
  <c r="I487" i="1" s="1"/>
  <c r="J487" i="1" s="1"/>
  <c r="H422" i="1"/>
  <c r="F149" i="1"/>
  <c r="L536" i="1"/>
  <c r="F563" i="1" s="1"/>
  <c r="F485" i="1"/>
  <c r="K485" i="1" s="1"/>
  <c r="J470" i="1"/>
  <c r="C486" i="1"/>
  <c r="F486" i="1" s="1"/>
  <c r="K486" i="1" s="1"/>
  <c r="L415" i="1"/>
  <c r="J419" i="1"/>
  <c r="I475" i="1" s="1"/>
  <c r="J475" i="1" s="1"/>
  <c r="L475" i="1" s="1"/>
  <c r="H417" i="1"/>
  <c r="I417" i="1" s="1"/>
  <c r="J417" i="1" s="1"/>
  <c r="I209" i="1"/>
  <c r="H529" i="1"/>
  <c r="L433" i="1"/>
  <c r="I416" i="1"/>
  <c r="K416" i="1" s="1"/>
  <c r="L130" i="1"/>
  <c r="I531" i="1"/>
  <c r="H231" i="1"/>
  <c r="L538" i="1"/>
  <c r="F565" i="1" s="1"/>
  <c r="K258" i="1"/>
  <c r="L258" i="1"/>
  <c r="I275" i="1"/>
  <c r="I276" i="1"/>
  <c r="L429" i="1"/>
  <c r="L431" i="1"/>
  <c r="L545" i="1"/>
  <c r="F572" i="1" s="1"/>
  <c r="J148" i="1"/>
  <c r="I277" i="1" l="1"/>
  <c r="F324" i="1" s="1"/>
  <c r="F326" i="1" s="1"/>
  <c r="J531" i="1"/>
  <c r="K531" i="1"/>
  <c r="L147" i="1"/>
  <c r="L424" i="1"/>
  <c r="K424" i="1"/>
  <c r="H497" i="1"/>
  <c r="H499" i="1" s="1"/>
  <c r="E477" i="1"/>
  <c r="F477" i="1" s="1"/>
  <c r="K477" i="1" s="1"/>
  <c r="J421" i="1"/>
  <c r="I477" i="1" s="1"/>
  <c r="J477" i="1" s="1"/>
  <c r="L482" i="1"/>
  <c r="L416" i="1"/>
  <c r="J534" i="1"/>
  <c r="F676" i="1"/>
  <c r="H681" i="1" s="1"/>
  <c r="K433" i="1"/>
  <c r="I489" i="1" s="1"/>
  <c r="J489" i="1" s="1"/>
  <c r="L489" i="1" s="1"/>
  <c r="H547" i="1"/>
  <c r="I541" i="1"/>
  <c r="J676" i="1"/>
  <c r="L148" i="1"/>
  <c r="L486" i="1"/>
  <c r="L675" i="1"/>
  <c r="L676" i="1" s="1"/>
  <c r="H682" i="1" s="1"/>
  <c r="C473" i="1"/>
  <c r="C488" i="1"/>
  <c r="F488" i="1" s="1"/>
  <c r="K488" i="1" s="1"/>
  <c r="E473" i="1"/>
  <c r="F473" i="1" s="1"/>
  <c r="K473" i="1" s="1"/>
  <c r="K417" i="1"/>
  <c r="I473" i="1" s="1"/>
  <c r="J473" i="1" s="1"/>
  <c r="E481" i="1"/>
  <c r="K425" i="1"/>
  <c r="E488" i="1"/>
  <c r="J432" i="1"/>
  <c r="I488" i="1" s="1"/>
  <c r="J488" i="1" s="1"/>
  <c r="F553" i="1"/>
  <c r="I418" i="1"/>
  <c r="K345" i="1"/>
  <c r="L345" i="1" s="1"/>
  <c r="C345" i="1"/>
  <c r="F345" i="1" s="1"/>
  <c r="L534" i="1"/>
  <c r="F561" i="1" s="1"/>
  <c r="J362" i="1"/>
  <c r="J361" i="1"/>
  <c r="K409" i="1"/>
  <c r="G342" i="1"/>
  <c r="G343" i="1" s="1"/>
  <c r="G128" i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L530" i="1"/>
  <c r="F557" i="1" s="1"/>
  <c r="C344" i="1"/>
  <c r="K344" i="1"/>
  <c r="L275" i="1"/>
  <c r="C337" i="1"/>
  <c r="D341" i="1" s="1"/>
  <c r="L276" i="1"/>
  <c r="L531" i="1"/>
  <c r="F558" i="1" s="1"/>
  <c r="G214" i="1"/>
  <c r="F229" i="1"/>
  <c r="F230" i="1"/>
  <c r="C481" i="1"/>
  <c r="F481" i="1" s="1"/>
  <c r="K481" i="1" s="1"/>
  <c r="C474" i="1"/>
  <c r="I537" i="1"/>
  <c r="J149" i="1"/>
  <c r="F193" i="1" s="1"/>
  <c r="K276" i="1"/>
  <c r="K275" i="1"/>
  <c r="I529" i="1"/>
  <c r="J529" i="1" s="1"/>
  <c r="C478" i="1"/>
  <c r="E480" i="1"/>
  <c r="F480" i="1" s="1"/>
  <c r="K480" i="1" s="1"/>
  <c r="J424" i="1"/>
  <c r="I363" i="1"/>
  <c r="I471" i="1"/>
  <c r="L487" i="1"/>
  <c r="H546" i="1"/>
  <c r="H548" i="1" s="1"/>
  <c r="F593" i="1" s="1"/>
  <c r="F595" i="1" s="1"/>
  <c r="L425" i="1"/>
  <c r="E472" i="1"/>
  <c r="J416" i="1"/>
  <c r="I472" i="1" s="1"/>
  <c r="J472" i="1" s="1"/>
  <c r="L417" i="1"/>
  <c r="K408" i="1"/>
  <c r="H435" i="1"/>
  <c r="L470" i="1"/>
  <c r="I422" i="1"/>
  <c r="I481" i="1"/>
  <c r="J481" i="1" s="1"/>
  <c r="L432" i="1"/>
  <c r="L544" i="1"/>
  <c r="F571" i="1" s="1"/>
  <c r="H434" i="1"/>
  <c r="F231" i="1" l="1"/>
  <c r="K541" i="1"/>
  <c r="J541" i="1"/>
  <c r="L409" i="1"/>
  <c r="K418" i="1"/>
  <c r="L149" i="1"/>
  <c r="H193" i="1" s="1"/>
  <c r="H194" i="1" s="1"/>
  <c r="H683" i="1"/>
  <c r="I480" i="1"/>
  <c r="J480" i="1" s="1"/>
  <c r="L480" i="1" s="1"/>
  <c r="L477" i="1"/>
  <c r="L473" i="1"/>
  <c r="K537" i="1"/>
  <c r="J537" i="1"/>
  <c r="J546" i="1" s="1"/>
  <c r="G147" i="1"/>
  <c r="J547" i="1"/>
  <c r="L422" i="1"/>
  <c r="L434" i="1" s="1"/>
  <c r="K422" i="1"/>
  <c r="I435" i="1"/>
  <c r="L418" i="1"/>
  <c r="G148" i="1"/>
  <c r="L541" i="1"/>
  <c r="F568" i="1" s="1"/>
  <c r="K529" i="1"/>
  <c r="I547" i="1"/>
  <c r="I546" i="1"/>
  <c r="C490" i="1"/>
  <c r="L481" i="1"/>
  <c r="K410" i="1"/>
  <c r="C467" i="1"/>
  <c r="L277" i="1"/>
  <c r="L537" i="1"/>
  <c r="F564" i="1" s="1"/>
  <c r="E474" i="1"/>
  <c r="F474" i="1" s="1"/>
  <c r="K474" i="1" s="1"/>
  <c r="J418" i="1"/>
  <c r="E478" i="1"/>
  <c r="F478" i="1" s="1"/>
  <c r="K478" i="1" s="1"/>
  <c r="J422" i="1"/>
  <c r="K361" i="1"/>
  <c r="K362" i="1"/>
  <c r="L408" i="1"/>
  <c r="L410" i="1" s="1"/>
  <c r="I214" i="1"/>
  <c r="G229" i="1"/>
  <c r="G230" i="1"/>
  <c r="F344" i="1"/>
  <c r="C361" i="1"/>
  <c r="C362" i="1"/>
  <c r="L344" i="1"/>
  <c r="L488" i="1"/>
  <c r="I434" i="1"/>
  <c r="I436" i="1" s="1"/>
  <c r="J471" i="1"/>
  <c r="J363" i="1"/>
  <c r="F472" i="1"/>
  <c r="D342" i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2" i="1"/>
  <c r="K434" i="1"/>
  <c r="K435" i="1"/>
  <c r="K277" i="1"/>
  <c r="H324" i="1" s="1"/>
  <c r="H326" i="1" s="1"/>
  <c r="F194" i="1"/>
  <c r="F323" i="1"/>
  <c r="F325" i="1" s="1"/>
  <c r="H436" i="1"/>
  <c r="C491" i="1"/>
  <c r="L529" i="1"/>
  <c r="H323" i="1" l="1"/>
  <c r="H325" i="1" s="1"/>
  <c r="I478" i="1"/>
  <c r="J478" i="1" s="1"/>
  <c r="L435" i="1"/>
  <c r="K436" i="1"/>
  <c r="J548" i="1"/>
  <c r="G149" i="1"/>
  <c r="L436" i="1"/>
  <c r="G231" i="1"/>
  <c r="G498" i="1"/>
  <c r="G499" i="1" s="1"/>
  <c r="G592" i="1"/>
  <c r="G594" i="1" s="1"/>
  <c r="K472" i="1"/>
  <c r="F490" i="1"/>
  <c r="F491" i="1"/>
  <c r="F492" i="1" s="1"/>
  <c r="F556" i="1"/>
  <c r="L547" i="1"/>
  <c r="L546" i="1"/>
  <c r="I474" i="1"/>
  <c r="J434" i="1"/>
  <c r="J435" i="1"/>
  <c r="L478" i="1"/>
  <c r="G467" i="1"/>
  <c r="G470" i="1" s="1"/>
  <c r="D470" i="1"/>
  <c r="F361" i="1"/>
  <c r="F362" i="1"/>
  <c r="E490" i="1"/>
  <c r="E491" i="1"/>
  <c r="E492" i="1" s="1"/>
  <c r="I229" i="1"/>
  <c r="I230" i="1"/>
  <c r="I231" i="1" s="1"/>
  <c r="I548" i="1"/>
  <c r="G593" i="1" s="1"/>
  <c r="G595" i="1" s="1"/>
  <c r="C492" i="1"/>
  <c r="F498" i="1"/>
  <c r="F499" i="1" s="1"/>
  <c r="F592" i="1"/>
  <c r="F594" i="1" s="1"/>
  <c r="D361" i="1"/>
  <c r="D363" i="1" s="1"/>
  <c r="K363" i="1"/>
  <c r="K547" i="1"/>
  <c r="K546" i="1"/>
  <c r="L471" i="1"/>
  <c r="G344" i="1"/>
  <c r="L361" i="1"/>
  <c r="L362" i="1"/>
  <c r="L363" i="1" s="1"/>
  <c r="C363" i="1"/>
  <c r="J436" i="1" l="1"/>
  <c r="L548" i="1"/>
  <c r="H593" i="1" s="1"/>
  <c r="H595" i="1" s="1"/>
  <c r="D471" i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1" i="1"/>
  <c r="F363" i="1"/>
  <c r="K548" i="1"/>
  <c r="K491" i="1"/>
  <c r="K492" i="1" s="1"/>
  <c r="K490" i="1"/>
  <c r="L472" i="1"/>
  <c r="G471" i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H233" i="1"/>
  <c r="J233" i="1"/>
  <c r="G345" i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J474" i="1"/>
  <c r="I490" i="1"/>
  <c r="L501" i="1" s="1"/>
  <c r="I491" i="1"/>
  <c r="D490" i="1" l="1"/>
  <c r="D492" i="1"/>
  <c r="I492" i="1"/>
  <c r="G490" i="1"/>
  <c r="G362" i="1"/>
  <c r="L474" i="1"/>
  <c r="J490" i="1"/>
  <c r="J491" i="1"/>
  <c r="G491" i="1"/>
  <c r="G361" i="1"/>
  <c r="G492" i="1" l="1"/>
  <c r="J492" i="1"/>
  <c r="L490" i="1"/>
  <c r="L491" i="1"/>
  <c r="L492" i="1" s="1"/>
  <c r="G363" i="1"/>
  <c r="J501" i="1" l="1"/>
  <c r="K501" i="1"/>
</calcChain>
</file>

<file path=xl/sharedStrings.xml><?xml version="1.0" encoding="utf-8"?>
<sst xmlns="http://schemas.openxmlformats.org/spreadsheetml/2006/main" count="714" uniqueCount="426">
  <si>
    <t>Relative Gain from Revenue Maximization</t>
  </si>
  <si>
    <t>Commodity Stabilization Models</t>
  </si>
  <si>
    <t>The initial required buffer stock is determined as the maximum quantity under the random market demand and supply,</t>
  </si>
  <si>
    <t>here the net change in total social welfare over a twenty-period iteration.  The larger is the price stabilization band, the</t>
  </si>
  <si>
    <t>less will be the need for a buffer stock transaction.  In this case, we determine the initial buffer stock quantity based on the</t>
  </si>
  <si>
    <t>We now compare the effects of a partially stabilized total revenue regime on the respective volatilities in quantity, price and</t>
  </si>
  <si>
    <t>total revenue.  As in the case of perfect revenue stabilization, the relative gain will be 100 percent, but it will be achieved at</t>
  </si>
  <si>
    <t>the expense of greater volatility in the corresponding quantities and prices.</t>
  </si>
  <si>
    <t>Table 11</t>
  </si>
  <si>
    <t>Table 12</t>
  </si>
  <si>
    <t>Post-Perfect Stabilization c.v.</t>
  </si>
  <si>
    <t>Post-Partial Stabilization c.v.</t>
  </si>
  <si>
    <t>Relative Gain from Partial Revenue Stabilization</t>
  </si>
  <si>
    <t>Relative Gain from Perfect Revenue Stabilization</t>
  </si>
  <si>
    <t>Comparison of Pre and Post-Revenue Stabilization Models on Market Stability</t>
  </si>
  <si>
    <t>losses show up as positive percentages)</t>
  </si>
  <si>
    <t>(Gains show up as negative percentages, while</t>
  </si>
  <si>
    <t>Other Commodity Stabilization Alternatives</t>
  </si>
  <si>
    <t>(not elaborated in this module)</t>
  </si>
  <si>
    <t>©2001</t>
  </si>
  <si>
    <t>In terms of total social welfare gains from price stabilization, whether the result will be positive depends on the startup and</t>
  </si>
  <si>
    <t>operation costs of the buffer stock regime, as well as on the underlying volatility in market demand and supply.  We show</t>
  </si>
  <si>
    <t>If the buffer stock decision is "sell", we then solve initially a total revenue quadratic equation for the optimal</t>
  </si>
  <si>
    <t xml:space="preserve">for demand, while for a buy decision, we use the quadratic equation for supply.  </t>
  </si>
  <si>
    <t>Sample Random Condition</t>
  </si>
  <si>
    <t xml:space="preserve">Using this framework, we now show in Table 8 the results of a perfect stabilization of total revenue over </t>
  </si>
  <si>
    <t xml:space="preserve">the gainers compensate the losers over time, much as one would expect in any Pareto regime.  However, as is shown in </t>
  </si>
  <si>
    <t>Table 10, the increase in total social welfare is achieved at a cost of increased volatility in both quantity and price.  Whether</t>
  </si>
  <si>
    <t>this represents a net gain to society depends on the underlying attitude toward risk.  Before we address this question,</t>
  </si>
  <si>
    <t>let us next consider the corresponding case of a buffer stock partial revenue stabilization regime.</t>
  </si>
  <si>
    <t>Unstabilized random equilibrium for buying</t>
  </si>
  <si>
    <t>Unstabilized random equilibrium for selling</t>
  </si>
  <si>
    <t>Buy Price</t>
  </si>
  <si>
    <t>Sell Price</t>
  </si>
  <si>
    <t>Equilibrium</t>
  </si>
  <si>
    <t>Base Stable</t>
  </si>
  <si>
    <t>Again, as in the cases of perfect and partial price stabilization, whether this will be positive or negative depends on the initial</t>
  </si>
  <si>
    <t>relative volatility in demand and supply, and on the corresponding startup and operation costs of the buffer stock regime.  It</t>
  </si>
  <si>
    <t>also assumes that the net gains in the buffer stock regime will be allocated proportionally between buyers and sellers, i.e.,</t>
  </si>
  <si>
    <t>average equilibrium quantity and price that will be the same as in equations 7 and 8. To arrive at a zero</t>
  </si>
  <si>
    <t xml:space="preserve">mean of our random number, we use the following expression to generate our random number series, r, </t>
  </si>
  <si>
    <t>and to generate the value of Vi:</t>
  </si>
  <si>
    <t xml:space="preserve">     To complete our model of price stabilization, let us now further specify V1 and V2 as relative variations in</t>
  </si>
  <si>
    <t>the inverse intercepts, a, and c.  To do so, we define an operator that uses a scalar that is multiplied by a random</t>
  </si>
  <si>
    <t>number with a zero mean and finite variance:</t>
  </si>
  <si>
    <t xml:space="preserve">     10.  Ps = c + dQ + V2</t>
  </si>
  <si>
    <t xml:space="preserve">       9.  Pd = a - bQ + V1</t>
  </si>
  <si>
    <t>11. Vi  = Z( r  - .5))</t>
  </si>
  <si>
    <t>where Z represents that absolute variation in the intercept.</t>
  </si>
  <si>
    <t>In turn, we can select the value of Z for each intercept in terms of the percentage change in value of the intercept:</t>
  </si>
  <si>
    <t>Z = a(1+v), where a is the corresponding intercept term and v is the percentage change in the value of the intercept.</t>
  </si>
  <si>
    <t xml:space="preserve"> = v</t>
  </si>
  <si>
    <t xml:space="preserve">      12.  a' = a(1+Z(r  - .5))</t>
  </si>
  <si>
    <t xml:space="preserve">    13.  c' = c(1+Z(r  - .5))</t>
  </si>
  <si>
    <t>Note that while we use this to formulate an equal percentage variation in each term, we can separate the degree</t>
  </si>
  <si>
    <t>of variation in supply and demand:</t>
  </si>
  <si>
    <t>and</t>
  </si>
  <si>
    <t>14. a'' = a(1+Za(r-.5)</t>
  </si>
  <si>
    <t>14. c'' = c(1+Zc(r-.5))</t>
  </si>
  <si>
    <t>15. Pd =</t>
  </si>
  <si>
    <t>16. Ps =</t>
  </si>
  <si>
    <t>17. Qe =</t>
  </si>
  <si>
    <t>18. Pe =</t>
  </si>
  <si>
    <t>19. TR =</t>
  </si>
  <si>
    <r>
      <t xml:space="preserve">6. Ps = c + dQ, where c =( </t>
    </r>
    <r>
      <rPr>
        <sz val="12"/>
        <rFont val="Symbol"/>
        <charset val="2"/>
      </rPr>
      <t>g/d</t>
    </r>
    <r>
      <rPr>
        <sz val="12"/>
        <rFont val="Helv"/>
      </rPr>
      <t>), and d = (</t>
    </r>
    <r>
      <rPr>
        <sz val="12"/>
        <rFont val="Symbol"/>
        <charset val="2"/>
      </rPr>
      <t>1/d</t>
    </r>
    <r>
      <rPr>
        <sz val="12"/>
        <rFont val="Helv"/>
      </rPr>
      <t>)</t>
    </r>
  </si>
  <si>
    <t>7. Qe =</t>
  </si>
  <si>
    <t>8. Pe =</t>
  </si>
  <si>
    <t>have the following inverse demand and supply equations:</t>
  </si>
  <si>
    <t xml:space="preserve">means that over a sufficient number of iterations, the solution values of 5.a and 6.a will produce an </t>
  </si>
  <si>
    <t>equilibrium quantity as well as a smaller degree of relative variation in equilibrium total revenue:</t>
  </si>
  <si>
    <r>
      <t>Q</t>
    </r>
    <r>
      <rPr>
        <vertAlign val="superscript"/>
        <sz val="12"/>
        <rFont val="Helv"/>
      </rPr>
      <t>2</t>
    </r>
  </si>
  <si>
    <t>from which we obtain:</t>
  </si>
  <si>
    <t>MR =</t>
  </si>
  <si>
    <t>Qopt =</t>
  </si>
  <si>
    <t>, which differs from the perfect revenue stabilizing solution quantities of</t>
  </si>
  <si>
    <t>the corresponding adjustment in the buffer stock. From section 4, let us again use the initial market conditions:</t>
  </si>
  <si>
    <t>, which when set to zero yields the revenue maximizing quantity, i.e.</t>
  </si>
  <si>
    <t>Table 13</t>
  </si>
  <si>
    <t>Revenue Maximizing Buffer Stock Regime</t>
  </si>
  <si>
    <t xml:space="preserve">          Figure 12</t>
  </si>
  <si>
    <t>Table 14</t>
  </si>
  <si>
    <t>Post-Revenu Maximization c.v.</t>
  </si>
  <si>
    <t xml:space="preserve">Let us now consider the effects of a buffer stock regime designed to achieve perfect revenue stabilization.  </t>
  </si>
  <si>
    <t xml:space="preserve">Supply </t>
  </si>
  <si>
    <t>Stock</t>
  </si>
  <si>
    <t>Target Total Revenue:</t>
  </si>
  <si>
    <t>in a similar fashion as a standard producer cartel.  We examine below some of these alternatives, and</t>
  </si>
  <si>
    <t>consider the role of futures and option price contracts as an alternative to buffer stock regimes.</t>
  </si>
  <si>
    <t>Q</t>
  </si>
  <si>
    <t>Q1 =</t>
  </si>
  <si>
    <t>Q2 =</t>
  </si>
  <si>
    <t>quantity, using the target level of total revenue.  In the case of a sell decision, we use the quadratic equation</t>
  </si>
  <si>
    <t xml:space="preserve">  = The solution (the maximum positive quantity)</t>
  </si>
  <si>
    <t xml:space="preserve">     Now consider the effect of random disturbances to the model.  For our inverse formulation, this means</t>
  </si>
  <si>
    <t>Eq.</t>
  </si>
  <si>
    <t>Relative Gain (i.e. Reduction in volatility)</t>
  </si>
  <si>
    <t>Let us now redefine our inverse equations as follows:</t>
  </si>
  <si>
    <t>a</t>
  </si>
  <si>
    <t>b</t>
  </si>
  <si>
    <t>c</t>
  </si>
  <si>
    <t>With the optimal price and quantity, we can then derive the new supply intercept term:</t>
  </si>
  <si>
    <t xml:space="preserve">   = X</t>
  </si>
  <si>
    <t>X =</t>
  </si>
  <si>
    <t>Thus, Ps =</t>
  </si>
  <si>
    <t>Sample Initial Condition</t>
  </si>
  <si>
    <r>
      <t xml:space="preserve">Massell, B.F. (1969). "Price Stabilization and Welfare", </t>
    </r>
    <r>
      <rPr>
        <i/>
        <sz val="12"/>
        <rFont val="Helv"/>
      </rPr>
      <t>Quarterly Journal of Economics</t>
    </r>
    <r>
      <rPr>
        <sz val="12"/>
        <rFont val="Helv"/>
      </rPr>
      <t>, vol. 83, 284-98.</t>
    </r>
  </si>
  <si>
    <t>58, 602-14.</t>
  </si>
  <si>
    <t xml:space="preserve">maximum buffer quantity change in Table 5.  The initial value of the buffer stock is determined by the average of the </t>
  </si>
  <si>
    <t>maximum and minimum price values needed to achieve the target price stabilization levels.</t>
  </si>
  <si>
    <t>Comparison of Pre and Post-Perfect Revenue Stabilization on Market Stability</t>
  </si>
  <si>
    <t>The trade-off is that as one moves from perfect to partial revenue stabilization, the relative volatility gains in</t>
  </si>
  <si>
    <t xml:space="preserve"> total revenue are less, but the relative changes in volatility in both quantity and price are greater.</t>
  </si>
  <si>
    <t>a twenty-period iteration. Notice in all cases that the revenue-stabilized equilibrium quantity is always</t>
  </si>
  <si>
    <t>greater than the random equilibrium quantity.</t>
  </si>
  <si>
    <t xml:space="preserve">           Figure 15</t>
  </si>
  <si>
    <t>(Relative gains show up as negative percentages,</t>
  </si>
  <si>
    <t>while relative losses show up as positive percentages).</t>
  </si>
  <si>
    <t>to provide instantaneous adjustment in buffer stocks consistent with revenue maximization by the seller.  As</t>
  </si>
  <si>
    <t>To achieve revenue maximization, one takes the first derivative of the corresponding total revenue function</t>
  </si>
  <si>
    <t>to determine the corresponding marginal revenue function.  Setting the corresponding marginal revenue</t>
  </si>
  <si>
    <t>function equal to zero yields the revenue-maximizing optimal quantity, and which then is used to determine</t>
  </si>
  <si>
    <t>(Relative gains show up as negative percentages.)</t>
  </si>
  <si>
    <t>Comparison of Pre and Post Price Perfect Stabilization on Market Stability</t>
  </si>
  <si>
    <t xml:space="preserve">    For a "sell":</t>
  </si>
  <si>
    <t>Relative Gain(i.e., reduction in volatility)</t>
  </si>
  <si>
    <t xml:space="preserve">     Over a twenty-period iteration, the relative change in total social welfare achieved is</t>
  </si>
  <si>
    <t xml:space="preserve">to examine the effects of buffer stocks to achieve various forms of stabilization.  We consider in turn,  perfect </t>
  </si>
  <si>
    <t xml:space="preserve">price stabilization, partial price stabilization, income stabilization, and income growth.  In each case, we do </t>
  </si>
  <si>
    <t>so through consideration of the relative degree of instability in demand and supply.</t>
  </si>
  <si>
    <t xml:space="preserve">In a purely deterministic environment with no uncertainty, we can derive the inverse equations and </t>
  </si>
  <si>
    <t>Lexington Books).</t>
  </si>
  <si>
    <t>and the price used to determine the initial value is the mean of the adjusted maximum and minimum prices:</t>
  </si>
  <si>
    <t>Random Maximum Value =</t>
  </si>
  <si>
    <t>Random Minimum Value =</t>
  </si>
  <si>
    <t>Residual Stock, Mean price=</t>
  </si>
  <si>
    <t xml:space="preserve">       Table 7</t>
  </si>
  <si>
    <t>Table 6</t>
  </si>
  <si>
    <t>Evaluating the perfect and partial price stabilization regimes can be done by comparing the change in relative volatilities in</t>
  </si>
  <si>
    <t>quantities, prices, and total revenue, and then by deriving the net change in total social welfare.  In a price stabilization model</t>
  </si>
  <si>
    <t>one expects a reduction in all three volatilities, as is shown in Table 6 below.</t>
  </si>
  <si>
    <t>by some random influences, which we denote, respectively as V1 and V2.  For each time period, we now</t>
  </si>
  <si>
    <t>Value</t>
  </si>
  <si>
    <t>Transaction</t>
  </si>
  <si>
    <t>a balance.  We note that in this example there are no storage or transaction costs, although they could</t>
  </si>
  <si>
    <t>Price</t>
  </si>
  <si>
    <t xml:space="preserve">where:  Qd = quantity demanded, </t>
  </si>
  <si>
    <t>and        Qs = quantity supplied.</t>
  </si>
  <si>
    <t>Traded</t>
  </si>
  <si>
    <t>when  the quantity balance is positive, the buffer stock agent decision is "buy".  The credit/debit entry is the</t>
  </si>
  <si>
    <r>
      <t xml:space="preserve">and Supply Response", </t>
    </r>
    <r>
      <rPr>
        <i/>
        <sz val="12"/>
        <rFont val="Helv"/>
      </rPr>
      <t>Economic Journal</t>
    </r>
    <r>
      <rPr>
        <sz val="12"/>
        <rFont val="Helv"/>
      </rPr>
      <t>, 89, 799-817.</t>
    </r>
  </si>
  <si>
    <r>
      <t>Economics of Risk</t>
    </r>
    <r>
      <rPr>
        <sz val="12"/>
        <rFont val="Helv"/>
      </rPr>
      <t>. (Oxford, U.K.:  The Clarendon Press).</t>
    </r>
  </si>
  <si>
    <t xml:space="preserve">Perfect price stabilization serves as a first-order illustration of the buffer stock model.  One alternative is </t>
  </si>
  <si>
    <t>Quantity</t>
  </si>
  <si>
    <t xml:space="preserve">Operation of this model is predicated on a number of simplifying assumptions.  First is that storage and </t>
  </si>
  <si>
    <t>Evaluating the economic efficiency of a perfect price stabilization buffer stock regime</t>
  </si>
  <si>
    <t>Although a reduction in the relative volatility of market quantities and total revenue can be thought of as a</t>
  </si>
  <si>
    <t>gain, in order to arrive at an economic conclusion, one must compare the costs of operation of the buffer</t>
  </si>
  <si>
    <t>Q. Difference=</t>
  </si>
  <si>
    <t>Turnovsky, S.J. (1976), "The Distribution of Welfare Gains from Price Stabilisation:  A Case of Multiplicative</t>
  </si>
  <si>
    <r>
      <t xml:space="preserve">Disturbances" </t>
    </r>
    <r>
      <rPr>
        <i/>
        <sz val="12"/>
        <rFont val="Helv"/>
      </rPr>
      <t>International Economic Review</t>
    </r>
    <r>
      <rPr>
        <sz val="12"/>
        <rFont val="Helv"/>
      </rPr>
      <t xml:space="preserve"> 17, 133-48.</t>
    </r>
  </si>
  <si>
    <r>
      <t>Economic</t>
    </r>
    <r>
      <rPr>
        <sz val="12"/>
        <rFont val="Helv"/>
      </rPr>
      <t>s 9, 37-57.</t>
    </r>
  </si>
  <si>
    <t>transactions costs are zero.  Second is that adjustments occur instantaneously.  Third is that the objective is</t>
  </si>
  <si>
    <r>
      <t xml:space="preserve">McNicol, David L. (1983). </t>
    </r>
    <r>
      <rPr>
        <i/>
        <sz val="12"/>
        <rFont val="Helv"/>
      </rPr>
      <t>Commodity Agreements and Price Stabilization</t>
    </r>
    <r>
      <rPr>
        <sz val="12"/>
        <rFont val="Helv"/>
      </rPr>
      <t>.  (Lexington, Mass.:</t>
    </r>
  </si>
  <si>
    <t xml:space="preserve">For each randomized demand and supply intercept, we now compute the quantity demanded at the initial </t>
  </si>
  <si>
    <t>quantity bought or sold at the deterministic equilibrium price, and the credit balance is the running total</t>
  </si>
  <si>
    <t>of the credit balance over the number  of iterations.  If the demand and supply shocks are purely random,</t>
  </si>
  <si>
    <t xml:space="preserve">over time, the quantity balance will be zero, and the credit balance will be stabilized at an initial level.  </t>
  </si>
  <si>
    <t>a' = random</t>
  </si>
  <si>
    <t>c' = random</t>
  </si>
  <si>
    <t>case of a "buy" decision, derive the total revenue quadratic equation from the inverse supply equation:</t>
  </si>
  <si>
    <t xml:space="preserve">     For a "sell":</t>
  </si>
  <si>
    <r>
      <t>Q</t>
    </r>
    <r>
      <rPr>
        <vertAlign val="superscript"/>
        <sz val="12"/>
        <rFont val="Helv"/>
      </rPr>
      <t>2</t>
    </r>
    <r>
      <rPr>
        <sz val="12"/>
        <rFont val="Helv"/>
      </rPr>
      <t xml:space="preserve">  </t>
    </r>
  </si>
  <si>
    <t>, i.e.,</t>
  </si>
  <si>
    <t>This optimal quantity now can be inserted into the random demand function to determine the optimal price:</t>
  </si>
  <si>
    <t>Comparison of Pre and Post Perfect and Partial Price Stabilization on Market Stability</t>
  </si>
  <si>
    <t>Post-Perfect Price Stabilization c.v.</t>
  </si>
  <si>
    <t>Post-Partial Price Stabilization c.v.</t>
  </si>
  <si>
    <t>c.var.</t>
  </si>
  <si>
    <t>Table 3</t>
  </si>
  <si>
    <t>Pre-Stabilization c.v.</t>
  </si>
  <si>
    <t>Post-Stabilization c.v.</t>
  </si>
  <si>
    <t>Total Rev.</t>
  </si>
  <si>
    <t xml:space="preserve">         Figure 2</t>
  </si>
  <si>
    <t>Pe</t>
  </si>
  <si>
    <t>Orig.P Qd</t>
  </si>
  <si>
    <t>Orig.P Qs</t>
  </si>
  <si>
    <t>Qe</t>
  </si>
  <si>
    <t>TR</t>
  </si>
  <si>
    <t xml:space="preserve">Figure 3   </t>
  </si>
  <si>
    <t>the current rate of interest, while it can earn interest at the current depository rate of interest to further achieve</t>
  </si>
  <si>
    <r>
      <t xml:space="preserve">Gardner, Bruce L. (1979).  </t>
    </r>
    <r>
      <rPr>
        <i/>
        <sz val="12"/>
        <rFont val="Helv"/>
      </rPr>
      <t>Optimal Stockpiling of Grain</t>
    </r>
    <r>
      <rPr>
        <sz val="12"/>
        <rFont val="Helv"/>
      </rPr>
      <t>. (Lexington, Mass.: D.C. Heath).</t>
    </r>
  </si>
  <si>
    <t>Mass.:  D.C. Heath).</t>
  </si>
  <si>
    <t>Upper price level</t>
  </si>
  <si>
    <t>Lower price level</t>
  </si>
  <si>
    <t>Figure 1</t>
  </si>
  <si>
    <t>Bibliography</t>
  </si>
  <si>
    <r>
      <t xml:space="preserve">O'Donnell,Christopher.  </t>
    </r>
    <r>
      <rPr>
        <i/>
        <sz val="12"/>
        <rFont val="Helv"/>
      </rPr>
      <t>Commodity Price Stabilisation</t>
    </r>
    <r>
      <rPr>
        <sz val="12"/>
        <rFont val="Helv"/>
      </rPr>
      <t>, An Empirical Analysis.  (Brookfield, Vt. Avebury, 1993)</t>
    </r>
  </si>
  <si>
    <t>Helms, L.J. (1985b). "Expected Consumer's Surplus and the Welfare Effects of Price Stabilisation",</t>
  </si>
  <si>
    <r>
      <t>International Economic Review</t>
    </r>
    <r>
      <rPr>
        <sz val="12"/>
        <rFont val="Helv"/>
      </rPr>
      <t xml:space="preserve"> 26(3), 603-617.</t>
    </r>
  </si>
  <si>
    <t>Quantiy</t>
  </si>
  <si>
    <t>Table 10</t>
  </si>
  <si>
    <t xml:space="preserve">variation, shown here in Table 1 under the row labeled "c.v.".   For each time period, total revenue will have a </t>
  </si>
  <si>
    <r>
      <t xml:space="preserve">Adams, F.G. And J.R. Behrman (1982).  </t>
    </r>
    <r>
      <rPr>
        <i/>
        <sz val="12"/>
        <rFont val="Helv"/>
      </rPr>
      <t>Commodity Exports and Economic Development</t>
    </r>
    <r>
      <rPr>
        <sz val="12"/>
        <rFont val="Helv"/>
      </rPr>
      <t>.  (Lexington,</t>
    </r>
  </si>
  <si>
    <t>Ballinger Publishing Company).</t>
  </si>
  <si>
    <r>
      <t xml:space="preserve">Labys, Walter C., editor (1975).  </t>
    </r>
    <r>
      <rPr>
        <i/>
        <sz val="12"/>
        <rFont val="Helv"/>
      </rPr>
      <t>Quantitative Models of Commodity Markets</t>
    </r>
    <r>
      <rPr>
        <sz val="12"/>
        <rFont val="Helv"/>
      </rPr>
      <t>.  (Cambridge, Mass.:</t>
    </r>
  </si>
  <si>
    <t>costs in its operation.</t>
  </si>
  <si>
    <t>Table 4</t>
  </si>
  <si>
    <t>Relative price band:</t>
  </si>
  <si>
    <t>sample, we also can display the pattern of random behavior in these variables, as is shown in Figures 1, 2, and 3.</t>
  </si>
  <si>
    <t>higher degree of relative fluctuation than either the corresponding equilibrium quantity or price.  With our 20-period</t>
  </si>
  <si>
    <t>Derivation of a Buffer Stock Account:</t>
  </si>
  <si>
    <t>Operation of the buffer stock to achieve perfect price stabilization results in a smaller level of relative variation in</t>
  </si>
  <si>
    <t>P'd =</t>
  </si>
  <si>
    <t xml:space="preserve"> In this example, the target level of revenue stabilization will be at</t>
  </si>
  <si>
    <t>Figure 11</t>
  </si>
  <si>
    <t xml:space="preserve">Figure 13   </t>
  </si>
  <si>
    <t>Figure 14</t>
  </si>
  <si>
    <t xml:space="preserve">Figure 16   </t>
  </si>
  <si>
    <t xml:space="preserve">Figure 10 </t>
  </si>
  <si>
    <t>Table 8</t>
  </si>
  <si>
    <t>that the intercept terms of the respective demand and supply equations will fluctuate to the right and left</t>
  </si>
  <si>
    <r>
      <t xml:space="preserve">  1.   Qd = </t>
    </r>
    <r>
      <rPr>
        <sz val="12"/>
        <rFont val="Symbol"/>
        <charset val="2"/>
      </rPr>
      <t>a - b</t>
    </r>
    <r>
      <rPr>
        <sz val="12"/>
        <rFont val="Helv"/>
      </rPr>
      <t>Pd</t>
    </r>
  </si>
  <si>
    <r>
      <t xml:space="preserve">  2.   Qs = </t>
    </r>
    <r>
      <rPr>
        <sz val="12"/>
        <rFont val="Symbol"/>
        <charset val="2"/>
      </rPr>
      <t>-g + d</t>
    </r>
    <r>
      <rPr>
        <sz val="12"/>
        <rFont val="Helv"/>
      </rPr>
      <t>Ps</t>
    </r>
  </si>
  <si>
    <r>
      <t>4. d</t>
    </r>
    <r>
      <rPr>
        <sz val="12"/>
        <rFont val="Helv"/>
      </rPr>
      <t xml:space="preserve">Ps = </t>
    </r>
    <r>
      <rPr>
        <sz val="12"/>
        <rFont val="Symbol"/>
        <charset val="2"/>
      </rPr>
      <t xml:space="preserve">g </t>
    </r>
    <r>
      <rPr>
        <sz val="12"/>
        <rFont val="Helv"/>
      </rPr>
      <t xml:space="preserve">+ Qd, reducing to Ps = </t>
    </r>
    <r>
      <rPr>
        <sz val="12"/>
        <rFont val="Symbol"/>
        <charset val="2"/>
      </rPr>
      <t>g/d + (1/d</t>
    </r>
    <r>
      <rPr>
        <sz val="12"/>
        <rFont val="Helv"/>
      </rPr>
      <t>)Ps.</t>
    </r>
  </si>
  <si>
    <r>
      <t>5. Pd = a - bQ, where a = (</t>
    </r>
    <r>
      <rPr>
        <sz val="12"/>
        <rFont val="Symbol"/>
        <charset val="2"/>
      </rPr>
      <t>a/b</t>
    </r>
    <r>
      <rPr>
        <sz val="12"/>
        <rFont val="Helv"/>
      </rPr>
      <t xml:space="preserve">) and b = </t>
    </r>
    <r>
      <rPr>
        <sz val="12"/>
        <rFont val="Symbol"/>
        <charset val="2"/>
      </rPr>
      <t>(1/b)</t>
    </r>
  </si>
  <si>
    <t>Initial Price stable equilibrium</t>
  </si>
  <si>
    <t>Stabilized</t>
  </si>
  <si>
    <t>Price stabilized random equilibrium</t>
  </si>
  <si>
    <t>If the balance is positive and a purchase is required:</t>
  </si>
  <si>
    <t>Buy</t>
  </si>
  <si>
    <t>Sell</t>
  </si>
  <si>
    <r>
      <t xml:space="preserve">Waugh, F.V. (1944), "Does the Consumer Benefit from Price Instability?", </t>
    </r>
    <r>
      <rPr>
        <i/>
        <sz val="12"/>
        <rFont val="Helv"/>
      </rPr>
      <t>Quarterly Journal of Economics,</t>
    </r>
  </si>
  <si>
    <r>
      <t xml:space="preserve">Waugh, F.V. (1966), "Consumer Aspects of Price Instability", </t>
    </r>
    <r>
      <rPr>
        <i/>
        <sz val="12"/>
        <rFont val="Helv"/>
      </rPr>
      <t>Econometrica</t>
    </r>
    <r>
      <rPr>
        <sz val="12"/>
        <rFont val="Helv"/>
      </rPr>
      <t xml:space="preserve"> 34 (2), 504-8.</t>
    </r>
  </si>
  <si>
    <t>Perfect Price Stabilization Solutions Under Certainty and Uncertainty</t>
  </si>
  <si>
    <t>Qd</t>
  </si>
  <si>
    <t>Qs</t>
  </si>
  <si>
    <t>Decision</t>
  </si>
  <si>
    <t>Buffer</t>
  </si>
  <si>
    <t>v1</t>
  </si>
  <si>
    <t>v2</t>
  </si>
  <si>
    <r>
      <t xml:space="preserve">Oi, W.Y. (1961), "The Desirability of Price Instability Under Perfect Competition", </t>
    </r>
    <r>
      <rPr>
        <i/>
        <sz val="12"/>
        <rFont val="Helv"/>
      </rPr>
      <t>Econometrica</t>
    </r>
    <r>
      <rPr>
        <sz val="12"/>
        <rFont val="Helv"/>
      </rPr>
      <t xml:space="preserve"> 29(1), 58-64.</t>
    </r>
  </si>
  <si>
    <t>Montclair State University</t>
  </si>
  <si>
    <t>School of Business</t>
  </si>
  <si>
    <t>Department of Economics and Finance</t>
  </si>
  <si>
    <t>Qd =</t>
  </si>
  <si>
    <t>Qs =</t>
  </si>
  <si>
    <t>Pe =</t>
  </si>
  <si>
    <t>Qe =</t>
  </si>
  <si>
    <t>TR =</t>
  </si>
  <si>
    <t>Period:</t>
  </si>
  <si>
    <t>Random</t>
  </si>
  <si>
    <t>Mean:</t>
  </si>
  <si>
    <t>Balance</t>
  </si>
  <si>
    <t>Let us now consider the model of perfect price stabilization in terms of the following parameters:</t>
  </si>
  <si>
    <t>schemes.  From the literature on commodity price stabilization, we present here a model that can be used</t>
  </si>
  <si>
    <t xml:space="preserve">be incorporated to gain additional precision. </t>
  </si>
  <si>
    <t>A.</t>
  </si>
  <si>
    <t>B.</t>
  </si>
  <si>
    <t>C.</t>
  </si>
  <si>
    <t>D.</t>
  </si>
  <si>
    <t>E.</t>
  </si>
  <si>
    <t xml:space="preserve"> (= A-B)</t>
  </si>
  <si>
    <t>(the deterministic equilibrium price)</t>
  </si>
  <si>
    <t xml:space="preserve"> (= CxD)</t>
  </si>
  <si>
    <t>Level</t>
  </si>
  <si>
    <t>A Buffer Stock Perfect Revenue Stabilization Regime</t>
  </si>
  <si>
    <t xml:space="preserve">           Figure 8</t>
  </si>
  <si>
    <t>Partially Stabilized Price</t>
  </si>
  <si>
    <t>Random Price</t>
  </si>
  <si>
    <t>Figure 9</t>
  </si>
  <si>
    <t>solve for  the equilibrium quantity and price as follows:</t>
  </si>
  <si>
    <t>Table 1</t>
  </si>
  <si>
    <t>Adjusted</t>
  </si>
  <si>
    <t>ao</t>
  </si>
  <si>
    <t>a1</t>
  </si>
  <si>
    <t>bo</t>
  </si>
  <si>
    <t>b1</t>
  </si>
  <si>
    <t>Welfare Effects of the Operation of a Perfect Price Stabilization Buffer Stock Regime</t>
  </si>
  <si>
    <t>Pre-</t>
  </si>
  <si>
    <t>Post-</t>
  </si>
  <si>
    <t>Stabilization</t>
  </si>
  <si>
    <t>Net</t>
  </si>
  <si>
    <t>Change in</t>
  </si>
  <si>
    <t>Transactions</t>
  </si>
  <si>
    <t>Cost</t>
  </si>
  <si>
    <t>Gross</t>
  </si>
  <si>
    <t xml:space="preserve">        Perfect Price Stabilization Buffer Stock Accounting</t>
  </si>
  <si>
    <t>Over a 20 period iteration, the relative change in total social welfare is</t>
  </si>
  <si>
    <t>Table 5</t>
  </si>
  <si>
    <t xml:space="preserve">    A Partial Price Stabilization Buffer Stock Regime</t>
  </si>
  <si>
    <t>Change</t>
  </si>
  <si>
    <t xml:space="preserve">New </t>
  </si>
  <si>
    <t xml:space="preserve">         The corresponding solution values are:</t>
  </si>
  <si>
    <t>P. LeBel</t>
  </si>
  <si>
    <t xml:space="preserve"> and</t>
  </si>
  <si>
    <t xml:space="preserve">deterministic equilibrium price, then compute the quantity supplied at the original deterministic equilibrium </t>
  </si>
  <si>
    <r>
      <t xml:space="preserve">Willig, R.D. (1976), "Consumers' Surplus Without Apology", </t>
    </r>
    <r>
      <rPr>
        <i/>
        <sz val="12"/>
        <rFont val="Helv"/>
      </rPr>
      <t>American Economic Review</t>
    </r>
    <r>
      <rPr>
        <sz val="12"/>
        <rFont val="Helv"/>
      </rPr>
      <t>, 66, 589-97.</t>
    </r>
  </si>
  <si>
    <r>
      <t xml:space="preserve">Butlin, M. (1976). "The Welfare Effects of Price Stabilisation: A Simple Multi-Market Extension", </t>
    </r>
    <r>
      <rPr>
        <i/>
        <sz val="12"/>
        <rFont val="Helv"/>
      </rPr>
      <t/>
    </r>
  </si>
  <si>
    <r>
      <t>Economic Record</t>
    </r>
    <r>
      <rPr>
        <sz val="12"/>
        <rFont val="Helv"/>
      </rPr>
      <t>, 52, 483-496.</t>
    </r>
  </si>
  <si>
    <r>
      <t xml:space="preserve">Adams, F.G., and S.A. Klein(1981). </t>
    </r>
    <r>
      <rPr>
        <i/>
        <sz val="12"/>
        <rFont val="Helv"/>
      </rPr>
      <t>Stabilizing World Commodity Markets</t>
    </r>
    <r>
      <rPr>
        <sz val="12"/>
        <rFont val="Helv"/>
      </rPr>
      <t>.  (Lexington, Mass.: Lexington Books).</t>
    </r>
  </si>
  <si>
    <t>V1</t>
  </si>
  <si>
    <t>V2</t>
  </si>
  <si>
    <t xml:space="preserve">     If  V1 and V2 are purely random, each will have a mean value of zero and a finite variance.  This</t>
  </si>
  <si>
    <t>D Intercept</t>
  </si>
  <si>
    <t>S Intercept</t>
  </si>
  <si>
    <t>of revenue stabilization, or they may seek to increase revenue through a price stabilization buffer stock</t>
  </si>
  <si>
    <t>regime.  Where the goal is revenue increases rather than revenue stabilization, a buffer stock thus operates</t>
  </si>
  <si>
    <t>A Buffer Stock Partial Price Stabilization Regime</t>
  </si>
  <si>
    <t xml:space="preserve">     Inasmuch as a perfect revenue stabilization regime has intuitive appeal, one alternative is to consider a</t>
  </si>
  <si>
    <t>regime of revenue maximization within the constraints of random demand and supply.  Here the objective is</t>
  </si>
  <si>
    <t>will be shown, the welfare effects differ significantly from those under a price or revenue stabilization regime.</t>
  </si>
  <si>
    <t>A Buffer Stock Partial Revenue Stabilization Regime</t>
  </si>
  <si>
    <t xml:space="preserve">     As in the case of a partial price stabilization regime, we can devise an atlernative partial revenue stabilization</t>
  </si>
  <si>
    <t>regime.  As in the case of partial price stabilization, the decision to intervene is determined by the extent to which</t>
  </si>
  <si>
    <t>revenue falls within or outside of a designated revenue band.  Once defined, the buffer stock adjustment behaves</t>
  </si>
  <si>
    <t>in a similar fashion as in the case of perfect revenue stabilization.  We set out below the framework for partial</t>
  </si>
  <si>
    <t>revenue stabilization and illustrate the consequences on social welfare.</t>
  </si>
  <si>
    <t>stock regime against the corresponding level of total social welfare.  In Table 4 below, we compute the</t>
  </si>
  <si>
    <t>pre-stabilization level of total social welfare, the post-stabilization level of total social welfare, and the</t>
  </si>
  <si>
    <t>Demand</t>
  </si>
  <si>
    <t>Supply</t>
  </si>
  <si>
    <t>Intercept</t>
  </si>
  <si>
    <t>New</t>
  </si>
  <si>
    <t>Account</t>
  </si>
  <si>
    <t xml:space="preserve">     As an example, consider the following random demand function and the initial market conditions:</t>
  </si>
  <si>
    <t>Decision:</t>
  </si>
  <si>
    <t>We now derive the</t>
  </si>
  <si>
    <t>corresponding total revenue quadratic equation that equals the target level of total revenue.  In the case of</t>
  </si>
  <si>
    <t>a "sell" decision, derive the total revenue quadratic equation from the inverse demand equation, and in the</t>
  </si>
  <si>
    <t xml:space="preserve">    =  Base level z selected, based on the following percent of each deterministic intercept:</t>
  </si>
  <si>
    <t xml:space="preserve"> = Baseline deterministic total revenue</t>
  </si>
  <si>
    <t>Upper TR</t>
  </si>
  <si>
    <t>Lower TR</t>
  </si>
  <si>
    <t>Random TR</t>
  </si>
  <si>
    <t>Partial Stabilized TR</t>
  </si>
  <si>
    <t>Figure 17</t>
  </si>
  <si>
    <t>Figure 18</t>
  </si>
  <si>
    <t>Relative Gain from Partial Price Stabilization</t>
  </si>
  <si>
    <t>Relative Gain from Perfect Price Stabilization</t>
  </si>
  <si>
    <t>To determine the required amount of funding for a buffer stock, one can take the difference between the random</t>
  </si>
  <si>
    <t>Newbery, D.M.G. And J.E. Stiglitz (1979), "The Theory of Commodity Stabilisation Rules: Welfare Impacts</t>
  </si>
  <si>
    <t xml:space="preserve">       Consider the following simple model:</t>
  </si>
  <si>
    <t>In a purely deterministic environment, the equilibrium quantity and price will be determined as:</t>
  </si>
  <si>
    <t>Staff Working Paper Number 668.  (Washington, D.C.:  The World Bank).</t>
  </si>
  <si>
    <r>
      <t xml:space="preserve">Schmitz, Andrew (1984).  </t>
    </r>
    <r>
      <rPr>
        <i/>
        <sz val="12"/>
        <rFont val="Helv"/>
      </rPr>
      <t>Commodity Price Stabilization:  The Theory and Its Application</t>
    </r>
    <r>
      <rPr>
        <sz val="12"/>
        <rFont val="Helv"/>
      </rPr>
      <t>, World Bank</t>
    </r>
  </si>
  <si>
    <t>Figure 6</t>
  </si>
  <si>
    <t>Figure 7</t>
  </si>
  <si>
    <t>For each variable, we can compute the relative degree of randomness through derivation of the coefficient of</t>
  </si>
  <si>
    <t xml:space="preserve">price. The buffer stock agent decision follows from the quantity balance arising from the behavior of random </t>
  </si>
  <si>
    <t xml:space="preserve">demand and supply.  When the quantity balance is negative, that is, when quantity demanded exceeds </t>
  </si>
  <si>
    <t xml:space="preserve">quantity supplied at the original deterministic equilibrium price, the buffer stock agent decision is "sell", and </t>
  </si>
  <si>
    <t>net transaction cost in each time period.  For purposes of simplicity, we ignore the initial cost of establishing</t>
  </si>
  <si>
    <t>the buffer stock level, any transactions costs in the operation of the buffer stock, as well as any storage</t>
  </si>
  <si>
    <t>to consider partial price stabilization.  In this case, we examine the operation of the buffer stock where</t>
  </si>
  <si>
    <t>Base case reference conditions:</t>
  </si>
  <si>
    <t>Table 2</t>
  </si>
  <si>
    <t xml:space="preserve">the stabilization goal is determined by the degree of price variation within a designated percentage </t>
  </si>
  <si>
    <t>change from an initial base level deterministic equilibrium price.</t>
  </si>
  <si>
    <t>A Random Revenue Maximization Buffer Stock Regime</t>
  </si>
  <si>
    <t>A Perfect Price Stabilization Regime With Lagged Buffer Stock Response</t>
  </si>
  <si>
    <t>A Partial Price Stabilization Regime With Lagged Buffer Stock Response</t>
  </si>
  <si>
    <t>A Perfect Revenue Stabilization Regime With Lagged Buffer Stock Response</t>
  </si>
  <si>
    <t>A Partial Revenue Stabilization Regime With Lagged Buffer Stock Response</t>
  </si>
  <si>
    <t>A Random Revenue Maximization Regime With Lagged Buffer Stock Response</t>
  </si>
  <si>
    <t>Option Pricing Alternatives to Buffer Stock Regimes</t>
  </si>
  <si>
    <t>Relative Total Revenue band</t>
  </si>
  <si>
    <t>Upper Total Revenue Level</t>
  </si>
  <si>
    <t>Lower Total Revenue Level</t>
  </si>
  <si>
    <t>Table 9</t>
  </si>
  <si>
    <t xml:space="preserve">        A Partial Total Revenue Stabilization Buffer Stock Regime</t>
  </si>
  <si>
    <t xml:space="preserve">Adjusted </t>
  </si>
  <si>
    <t>Comparison of Pre and Post-Revenue Maximization Model on Market Stability</t>
  </si>
  <si>
    <t>Determination of Perfect Price Stabilization Buffer Stock Adjustments</t>
  </si>
  <si>
    <t xml:space="preserve"> of a Partial Price Stabilization  Regime</t>
  </si>
  <si>
    <t>of a Perfect Revenue Stabilization Regime</t>
  </si>
  <si>
    <t>setting the random marginal revenue function equal to zero.  If the revenue-maximizing quantity is less</t>
  </si>
  <si>
    <t xml:space="preserve">than the random equilibrium quantity, then the buffer stock decision will be a "buy", while if the </t>
  </si>
  <si>
    <t>for the buffer stock regime. As shown above, the revenue-maximizing quantity always is determined by</t>
  </si>
  <si>
    <t xml:space="preserve">revenue-maximizing quantity is greater than the random equilibrium quantity, the buffer stock decision </t>
  </si>
  <si>
    <t>will be a "sell".</t>
  </si>
  <si>
    <t>If the balance is negative and a sale is required:</t>
  </si>
  <si>
    <r>
      <t xml:space="preserve">Turnovsky, S.J. (1978b), "Stabilization Rules and the Benefits from Price Stabilisation", </t>
    </r>
    <r>
      <rPr>
        <i/>
        <sz val="12"/>
        <rFont val="Helv"/>
      </rPr>
      <t>Journal of Public</t>
    </r>
  </si>
  <si>
    <r>
      <t xml:space="preserve">Newbery, D.M.G., and J.E. Stiglitz (1981). </t>
    </r>
    <r>
      <rPr>
        <i/>
        <sz val="12"/>
        <rFont val="Helv"/>
      </rPr>
      <t>The Theory of Commodity Price Stabilization:  A Study in the</t>
    </r>
  </si>
  <si>
    <t>Random Unstabilized Maximum Equilibrium Quantity</t>
  </si>
  <si>
    <t>Random Unstabilized Minimum Equilibrium Quantity</t>
  </si>
  <si>
    <t>Target Stabilization Price</t>
  </si>
  <si>
    <t>Initial Value of Buffer Stock Account</t>
  </si>
  <si>
    <t>Required Buffer Stock Quantity</t>
  </si>
  <si>
    <t>For a sample of only 20 time periods, the required buffer stock quantity may not cover all possible values in</t>
  </si>
  <si>
    <t>a given distribution.  Where shortfalls in the required quantity occur, the buffer stock agent will have to borrow at</t>
  </si>
  <si>
    <t>maximum and minimum quantities, and price the buffer stock at the designated stabilized price:</t>
  </si>
  <si>
    <t>a - b(Qe), or c + d(Qe)</t>
  </si>
  <si>
    <t>A Basic Demand and Supply Model</t>
  </si>
  <si>
    <t xml:space="preserve"> = initial buffer quantity and credit:</t>
  </si>
  <si>
    <t>stdev.</t>
  </si>
  <si>
    <t>c.v.</t>
  </si>
  <si>
    <t>stdev:</t>
  </si>
  <si>
    <t xml:space="preserve">   Figure 5            </t>
  </si>
  <si>
    <t xml:space="preserve">   Figure 4           </t>
  </si>
  <si>
    <t xml:space="preserve">We now use this revenue-maximizing optimal quantity to derive the corresponding solution values </t>
  </si>
  <si>
    <t>Pd =</t>
  </si>
  <si>
    <t>Ps =</t>
  </si>
  <si>
    <t>Balance=</t>
  </si>
  <si>
    <t>Target Price =</t>
  </si>
  <si>
    <t>Target Quantity =</t>
  </si>
  <si>
    <t>TSW</t>
  </si>
  <si>
    <r>
      <t>3. b</t>
    </r>
    <r>
      <rPr>
        <sz val="12"/>
        <rFont val="Helv"/>
      </rPr>
      <t xml:space="preserve">Pd = </t>
    </r>
    <r>
      <rPr>
        <sz val="12"/>
        <rFont val="Symbol"/>
        <charset val="2"/>
      </rPr>
      <t>a</t>
    </r>
    <r>
      <rPr>
        <sz val="12"/>
        <rFont val="Helv"/>
      </rPr>
      <t xml:space="preserve"> - Qd, reducing to Pd = </t>
    </r>
    <r>
      <rPr>
        <sz val="12"/>
        <rFont val="Symbol"/>
        <charset val="2"/>
      </rPr>
      <t>a/b - (1/b</t>
    </r>
    <r>
      <rPr>
        <sz val="12"/>
        <rFont val="Helv"/>
      </rPr>
      <t>)Pd,</t>
    </r>
  </si>
  <si>
    <t xml:space="preserve"> and:</t>
  </si>
  <si>
    <t>(a-c)/(-b+d)</t>
  </si>
  <si>
    <t xml:space="preserve">Instability in production, consumption, and prices all represent forms of risk.  For some time, some countries </t>
  </si>
  <si>
    <t xml:space="preserve">have tried to reduce the level of risk in primary commodity markets through the use of buffer stock stabilization </t>
  </si>
  <si>
    <t>Equil.</t>
  </si>
  <si>
    <t>Total</t>
  </si>
  <si>
    <t>Revenue</t>
  </si>
  <si>
    <t>Upper P</t>
  </si>
  <si>
    <t>Lower P</t>
  </si>
  <si>
    <t>Buffer Stock Accounting and Welfare Effects</t>
  </si>
  <si>
    <t>Total Revenue Perfect Stabilization Regime</t>
  </si>
  <si>
    <t>Initial Conditions:</t>
  </si>
  <si>
    <t>i.e.,</t>
  </si>
  <si>
    <t xml:space="preserve">Whether this will be positive or negative depends obviously on the initial relative volatility in demand and supply, </t>
  </si>
  <si>
    <t>and on the corresponding startup and operation cost of the buffer stock regime.  It also assumes that the net gains</t>
  </si>
  <si>
    <t xml:space="preserve">in the buffer stock regime will be divided proportionally between buyers and sellers, i.e., the gainers compensate </t>
  </si>
  <si>
    <t>the losers over time, much as one would expect in any Pareto regime.</t>
  </si>
  <si>
    <t>solely to achieve some level of price stabilization.  In reality, many buffer stock schemes do not operate with the</t>
  </si>
  <si>
    <t>goal of price price stabilization.  Instead, they may seek to achieve either some level (perfect or partial)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</si>
</sst>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\ "/>
    <numFmt numFmtId="165" formatCode="&quot;$&quot;#,##0.00"/>
    <numFmt numFmtId="166" formatCode="0.0000"/>
    <numFmt numFmtId="167" formatCode="\+0.00"/>
    <numFmt numFmtId="168" formatCode="\+0.0000"/>
    <numFmt numFmtId="172" formatCode="&quot;$&quot;#,##0"/>
    <numFmt numFmtId="173" formatCode="#,##0.0000"/>
    <numFmt numFmtId="175" formatCode="&quot;$&quot;#,##0.00\ \="/>
    <numFmt numFmtId="176" formatCode="\(0.00\)"/>
    <numFmt numFmtId="177" formatCode="\(0.0000\)"/>
    <numFmt numFmtId="178" formatCode="#,##0.00\ \="/>
    <numFmt numFmtId="179" formatCode="\=&quot;$&quot;#,##0.00"/>
    <numFmt numFmtId="180" formatCode="\(&quot;$&quot;#,##0.00\)\÷"/>
    <numFmt numFmtId="181" formatCode="\=\(&quot;$&quot;#,##0.00\)\÷"/>
  </numFmts>
  <fonts count="19">
    <font>
      <sz val="9"/>
      <name val="Helv"/>
    </font>
    <font>
      <b/>
      <sz val="9"/>
      <name val="Helv"/>
    </font>
    <font>
      <sz val="9"/>
      <name val="Helv"/>
    </font>
    <font>
      <sz val="12"/>
      <name val="Helv"/>
    </font>
    <font>
      <b/>
      <sz val="12"/>
      <name val="Helv"/>
    </font>
    <font>
      <b/>
      <sz val="18"/>
      <name val="Phyllis"/>
    </font>
    <font>
      <b/>
      <sz val="12"/>
      <color indexed="56"/>
      <name val="Helv"/>
    </font>
    <font>
      <sz val="10"/>
      <name val="Helv"/>
    </font>
    <font>
      <b/>
      <sz val="12"/>
      <color indexed="12"/>
      <name val="Helv"/>
    </font>
    <font>
      <b/>
      <sz val="10"/>
      <name val="Helv"/>
    </font>
    <font>
      <i/>
      <sz val="12"/>
      <name val="Helv"/>
    </font>
    <font>
      <sz val="12"/>
      <name val="Symbol"/>
      <charset val="2"/>
    </font>
    <font>
      <b/>
      <sz val="10"/>
      <color indexed="12"/>
      <name val="Helv"/>
    </font>
    <font>
      <b/>
      <sz val="10"/>
      <color indexed="8"/>
      <name val="Helv"/>
    </font>
    <font>
      <sz val="11"/>
      <name val="Helv"/>
    </font>
    <font>
      <vertAlign val="superscript"/>
      <sz val="12"/>
      <name val="Helv"/>
    </font>
    <font>
      <b/>
      <sz val="3"/>
      <name val="Helv"/>
    </font>
    <font>
      <sz val="3"/>
      <name val="Helv"/>
    </font>
    <font>
      <b/>
      <i/>
      <sz val="10"/>
      <name val="Helv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medium">
        <color indexed="10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10"/>
      </top>
      <bottom/>
      <diagonal/>
    </border>
    <border>
      <left/>
      <right/>
      <top style="medium">
        <color indexed="10"/>
      </top>
      <bottom style="medium">
        <color indexed="64"/>
      </bottom>
      <diagonal/>
    </border>
    <border>
      <left/>
      <right/>
      <top style="medium">
        <color indexed="10"/>
      </top>
      <bottom style="medium">
        <color indexed="8"/>
      </bottom>
      <diagonal/>
    </border>
    <border>
      <left style="medium">
        <color indexed="10"/>
      </left>
      <right/>
      <top style="medium">
        <color indexed="10"/>
      </top>
      <bottom style="medium">
        <color indexed="64"/>
      </bottom>
      <diagonal/>
    </border>
    <border>
      <left/>
      <right style="medium">
        <color indexed="10"/>
      </right>
      <top style="medium">
        <color indexed="10"/>
      </top>
      <bottom style="medium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10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8"/>
      </left>
      <right/>
      <top style="medium">
        <color indexed="10"/>
      </top>
      <bottom style="medium">
        <color indexed="8"/>
      </bottom>
      <diagonal/>
    </border>
    <border>
      <left/>
      <right style="medium">
        <color indexed="8"/>
      </right>
      <top style="medium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10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10"/>
      </top>
      <bottom style="medium">
        <color indexed="64"/>
      </bottom>
      <diagonal/>
    </border>
    <border>
      <left/>
      <right style="medium">
        <color indexed="8"/>
      </right>
      <top style="medium">
        <color indexed="10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</borders>
  <cellStyleXfs count="1">
    <xf numFmtId="0" fontId="0" fillId="0" borderId="0"/>
  </cellStyleXfs>
  <cellXfs count="38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3" fillId="0" borderId="2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7" fillId="0" borderId="0" xfId="0" applyFont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0" fontId="3" fillId="0" borderId="4" xfId="0" applyFont="1" applyBorder="1" applyAlignment="1">
      <alignment horizontal="right"/>
    </xf>
    <xf numFmtId="165" fontId="3" fillId="0" borderId="5" xfId="0" applyNumberFormat="1" applyFont="1" applyBorder="1"/>
    <xf numFmtId="0" fontId="7" fillId="0" borderId="0" xfId="0" applyFont="1"/>
    <xf numFmtId="2" fontId="7" fillId="0" borderId="6" xfId="0" applyNumberFormat="1" applyFont="1" applyBorder="1"/>
    <xf numFmtId="164" fontId="9" fillId="0" borderId="0" xfId="0" applyNumberFormat="1" applyFont="1" applyAlignment="1">
      <alignment horizontal="right"/>
    </xf>
    <xf numFmtId="0" fontId="9" fillId="0" borderId="7" xfId="0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165" fontId="7" fillId="0" borderId="6" xfId="0" applyNumberFormat="1" applyFont="1" applyBorder="1"/>
    <xf numFmtId="0" fontId="10" fillId="0" borderId="0" xfId="0" applyFont="1"/>
    <xf numFmtId="0" fontId="0" fillId="0" borderId="0" xfId="0" applyAlignment="1">
      <alignment horizontal="right"/>
    </xf>
    <xf numFmtId="2" fontId="0" fillId="0" borderId="0" xfId="0" applyNumberFormat="1"/>
    <xf numFmtId="165" fontId="0" fillId="0" borderId="0" xfId="0" applyNumberFormat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right"/>
    </xf>
    <xf numFmtId="2" fontId="0" fillId="0" borderId="0" xfId="0" applyNumberFormat="1" applyBorder="1"/>
    <xf numFmtId="0" fontId="0" fillId="0" borderId="12" xfId="0" applyBorder="1"/>
    <xf numFmtId="0" fontId="0" fillId="0" borderId="0" xfId="0" applyBorder="1"/>
    <xf numFmtId="0" fontId="0" fillId="0" borderId="13" xfId="0" applyBorder="1" applyAlignment="1">
      <alignment horizontal="right"/>
    </xf>
    <xf numFmtId="2" fontId="0" fillId="0" borderId="14" xfId="0" applyNumberFormat="1" applyBorder="1"/>
    <xf numFmtId="167" fontId="0" fillId="0" borderId="14" xfId="0" applyNumberFormat="1" applyBorder="1"/>
    <xf numFmtId="0" fontId="0" fillId="0" borderId="15" xfId="0" applyBorder="1"/>
    <xf numFmtId="0" fontId="0" fillId="0" borderId="7" xfId="0" applyBorder="1"/>
    <xf numFmtId="0" fontId="0" fillId="0" borderId="16" xfId="0" applyBorder="1"/>
    <xf numFmtId="165" fontId="0" fillId="0" borderId="16" xfId="0" applyNumberFormat="1" applyBorder="1"/>
    <xf numFmtId="0" fontId="0" fillId="0" borderId="8" xfId="0" applyBorder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0" fillId="0" borderId="7" xfId="0" applyNumberFormat="1" applyBorder="1"/>
    <xf numFmtId="2" fontId="0" fillId="0" borderId="16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2" fontId="0" fillId="0" borderId="8" xfId="0" applyNumberFormat="1" applyBorder="1"/>
    <xf numFmtId="165" fontId="0" fillId="0" borderId="7" xfId="0" applyNumberFormat="1" applyBorder="1"/>
    <xf numFmtId="0" fontId="0" fillId="0" borderId="0" xfId="0" applyBorder="1" applyAlignment="1">
      <alignment horizontal="right"/>
    </xf>
    <xf numFmtId="167" fontId="0" fillId="0" borderId="0" xfId="0" applyNumberFormat="1" applyBorder="1"/>
    <xf numFmtId="0" fontId="0" fillId="0" borderId="14" xfId="0" applyBorder="1" applyAlignment="1">
      <alignment horizontal="right"/>
    </xf>
    <xf numFmtId="0" fontId="1" fillId="0" borderId="9" xfId="0" applyFont="1" applyBorder="1"/>
    <xf numFmtId="0" fontId="1" fillId="0" borderId="17" xfId="0" applyFont="1" applyBorder="1"/>
    <xf numFmtId="2" fontId="1" fillId="0" borderId="0" xfId="0" applyNumberFormat="1" applyFont="1" applyBorder="1"/>
    <xf numFmtId="0" fontId="1" fillId="0" borderId="0" xfId="0" applyFont="1" applyBorder="1" applyAlignment="1">
      <alignment horizontal="right"/>
    </xf>
    <xf numFmtId="0" fontId="1" fillId="0" borderId="12" xfId="0" applyFont="1" applyBorder="1"/>
    <xf numFmtId="0" fontId="1" fillId="0" borderId="0" xfId="0" applyFont="1" applyBorder="1"/>
    <xf numFmtId="0" fontId="1" fillId="0" borderId="14" xfId="0" applyFont="1" applyBorder="1" applyAlignment="1">
      <alignment horizontal="right"/>
    </xf>
    <xf numFmtId="2" fontId="1" fillId="0" borderId="14" xfId="0" applyNumberFormat="1" applyFont="1" applyBorder="1"/>
    <xf numFmtId="167" fontId="1" fillId="0" borderId="14" xfId="0" applyNumberFormat="1" applyFont="1" applyBorder="1"/>
    <xf numFmtId="0" fontId="1" fillId="0" borderId="15" xfId="0" applyFont="1" applyBorder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/>
    <xf numFmtId="164" fontId="9" fillId="0" borderId="0" xfId="0" applyNumberFormat="1" applyFont="1"/>
    <xf numFmtId="10" fontId="3" fillId="0" borderId="6" xfId="0" applyNumberFormat="1" applyFont="1" applyBorder="1" applyAlignment="1">
      <alignment horizontal="right"/>
    </xf>
    <xf numFmtId="165" fontId="3" fillId="0" borderId="6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2" fontId="3" fillId="0" borderId="18" xfId="0" applyNumberFormat="1" applyFont="1" applyBorder="1"/>
    <xf numFmtId="166" fontId="3" fillId="0" borderId="18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left"/>
    </xf>
    <xf numFmtId="168" fontId="3" fillId="0" borderId="18" xfId="0" applyNumberFormat="1" applyFont="1" applyBorder="1" applyAlignment="1">
      <alignment horizontal="right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right"/>
    </xf>
    <xf numFmtId="166" fontId="3" fillId="0" borderId="18" xfId="0" applyNumberFormat="1" applyFont="1" applyBorder="1"/>
    <xf numFmtId="164" fontId="3" fillId="0" borderId="5" xfId="0" applyNumberFormat="1" applyFont="1" applyBorder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11" fillId="0" borderId="0" xfId="0" applyFont="1"/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Border="1"/>
    <xf numFmtId="2" fontId="3" fillId="0" borderId="0" xfId="0" applyNumberFormat="1" applyFont="1" applyBorder="1" applyAlignment="1">
      <alignment horizontal="left"/>
    </xf>
    <xf numFmtId="164" fontId="9" fillId="0" borderId="7" xfId="0" applyNumberFormat="1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8" fillId="0" borderId="19" xfId="0" applyFont="1" applyBorder="1" applyAlignment="1">
      <alignment horizontal="right"/>
    </xf>
    <xf numFmtId="0" fontId="8" fillId="0" borderId="19" xfId="0" applyFont="1" applyBorder="1"/>
    <xf numFmtId="0" fontId="8" fillId="0" borderId="19" xfId="0" applyFont="1" applyBorder="1" applyAlignment="1">
      <alignment horizontal="center"/>
    </xf>
    <xf numFmtId="0" fontId="7" fillId="0" borderId="4" xfId="0" applyFont="1" applyBorder="1"/>
    <xf numFmtId="0" fontId="7" fillId="0" borderId="18" xfId="0" applyFont="1" applyBorder="1"/>
    <xf numFmtId="165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2" fontId="7" fillId="0" borderId="0" xfId="0" applyNumberFormat="1" applyFont="1" applyBorder="1"/>
    <xf numFmtId="2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165" fontId="7" fillId="0" borderId="0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center"/>
    </xf>
    <xf numFmtId="2" fontId="9" fillId="0" borderId="8" xfId="0" applyNumberFormat="1" applyFont="1" applyBorder="1" applyAlignment="1">
      <alignment horizontal="center"/>
    </xf>
    <xf numFmtId="0" fontId="7" fillId="0" borderId="0" xfId="0" applyFont="1" applyBorder="1"/>
    <xf numFmtId="164" fontId="9" fillId="0" borderId="0" xfId="0" applyNumberFormat="1" applyFont="1" applyBorder="1" applyAlignment="1">
      <alignment horizontal="right"/>
    </xf>
    <xf numFmtId="2" fontId="4" fillId="0" borderId="0" xfId="0" applyNumberFormat="1" applyFont="1" applyBorder="1" applyAlignment="1">
      <alignment horizontal="center"/>
    </xf>
    <xf numFmtId="2" fontId="12" fillId="0" borderId="20" xfId="0" applyNumberFormat="1" applyFont="1" applyBorder="1"/>
    <xf numFmtId="2" fontId="8" fillId="0" borderId="20" xfId="0" applyNumberFormat="1" applyFont="1" applyBorder="1" applyAlignment="1">
      <alignment horizontal="center"/>
    </xf>
    <xf numFmtId="2" fontId="12" fillId="0" borderId="20" xfId="0" applyNumberFormat="1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2" fontId="13" fillId="0" borderId="7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4" fontId="7" fillId="0" borderId="6" xfId="0" applyNumberFormat="1" applyFont="1" applyBorder="1" applyAlignment="1">
      <alignment horizontal="center"/>
    </xf>
    <xf numFmtId="165" fontId="9" fillId="0" borderId="8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165" fontId="8" fillId="0" borderId="21" xfId="0" applyNumberFormat="1" applyFont="1" applyBorder="1" applyAlignment="1">
      <alignment horizontal="right"/>
    </xf>
    <xf numFmtId="0" fontId="8" fillId="0" borderId="21" xfId="0" applyFont="1" applyBorder="1"/>
    <xf numFmtId="0" fontId="8" fillId="0" borderId="21" xfId="0" applyFont="1" applyBorder="1" applyAlignment="1">
      <alignment horizontal="center"/>
    </xf>
    <xf numFmtId="165" fontId="7" fillId="0" borderId="7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2" fontId="3" fillId="0" borderId="0" xfId="0" applyNumberFormat="1" applyFont="1" applyBorder="1"/>
    <xf numFmtId="2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65" fontId="7" fillId="0" borderId="7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2" fontId="9" fillId="0" borderId="4" xfId="0" applyNumberFormat="1" applyFont="1" applyBorder="1" applyAlignment="1">
      <alignment horizontal="center"/>
    </xf>
    <xf numFmtId="2" fontId="12" fillId="0" borderId="18" xfId="0" applyNumberFormat="1" applyFont="1" applyBorder="1"/>
    <xf numFmtId="165" fontId="13" fillId="0" borderId="5" xfId="0" applyNumberFormat="1" applyFont="1" applyBorder="1" applyAlignment="1">
      <alignment horizontal="center"/>
    </xf>
    <xf numFmtId="2" fontId="9" fillId="0" borderId="18" xfId="0" applyNumberFormat="1" applyFont="1" applyBorder="1" applyAlignment="1">
      <alignment horizontal="left"/>
    </xf>
    <xf numFmtId="165" fontId="7" fillId="0" borderId="6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2" fontId="7" fillId="0" borderId="22" xfId="0" applyNumberFormat="1" applyFont="1" applyBorder="1"/>
    <xf numFmtId="0" fontId="12" fillId="0" borderId="20" xfId="0" applyFont="1" applyBorder="1" applyAlignment="1">
      <alignment horizontal="right"/>
    </xf>
    <xf numFmtId="0" fontId="0" fillId="0" borderId="20" xfId="0" applyBorder="1"/>
    <xf numFmtId="0" fontId="0" fillId="0" borderId="23" xfId="0" applyBorder="1"/>
    <xf numFmtId="164" fontId="3" fillId="0" borderId="24" xfId="0" applyNumberFormat="1" applyFont="1" applyBorder="1"/>
    <xf numFmtId="0" fontId="8" fillId="0" borderId="1" xfId="0" applyFont="1" applyBorder="1"/>
    <xf numFmtId="0" fontId="3" fillId="0" borderId="19" xfId="0" applyFont="1" applyBorder="1"/>
    <xf numFmtId="0" fontId="3" fillId="0" borderId="25" xfId="0" applyFont="1" applyBorder="1"/>
    <xf numFmtId="164" fontId="4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left"/>
    </xf>
    <xf numFmtId="165" fontId="3" fillId="0" borderId="0" xfId="0" applyNumberFormat="1" applyFont="1" applyBorder="1" applyAlignment="1">
      <alignment horizontal="left"/>
    </xf>
    <xf numFmtId="2" fontId="8" fillId="0" borderId="1" xfId="0" applyNumberFormat="1" applyFont="1" applyBorder="1" applyAlignment="1">
      <alignment horizontal="left"/>
    </xf>
    <xf numFmtId="2" fontId="8" fillId="0" borderId="1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left"/>
    </xf>
    <xf numFmtId="2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right"/>
    </xf>
    <xf numFmtId="165" fontId="1" fillId="0" borderId="6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164" fontId="7" fillId="0" borderId="0" xfId="0" applyNumberFormat="1" applyFont="1"/>
    <xf numFmtId="0" fontId="14" fillId="0" borderId="26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165" fontId="7" fillId="0" borderId="27" xfId="0" applyNumberFormat="1" applyFont="1" applyBorder="1" applyAlignment="1">
      <alignment horizontal="right"/>
    </xf>
    <xf numFmtId="165" fontId="7" fillId="0" borderId="27" xfId="0" applyNumberFormat="1" applyFont="1" applyBorder="1"/>
    <xf numFmtId="2" fontId="7" fillId="0" borderId="27" xfId="0" applyNumberFormat="1" applyFont="1" applyBorder="1" applyAlignment="1">
      <alignment horizontal="right"/>
    </xf>
    <xf numFmtId="173" fontId="7" fillId="0" borderId="27" xfId="0" applyNumberFormat="1" applyFont="1" applyBorder="1" applyAlignment="1">
      <alignment horizontal="right"/>
    </xf>
    <xf numFmtId="10" fontId="3" fillId="0" borderId="0" xfId="0" applyNumberFormat="1" applyFont="1" applyAlignment="1">
      <alignment horizontal="center"/>
    </xf>
    <xf numFmtId="173" fontId="7" fillId="0" borderId="0" xfId="0" applyNumberFormat="1" applyFont="1" applyBorder="1" applyAlignment="1">
      <alignment horizontal="right"/>
    </xf>
    <xf numFmtId="0" fontId="8" fillId="0" borderId="21" xfId="0" applyFont="1" applyBorder="1" applyAlignment="1">
      <alignment horizontal="right"/>
    </xf>
    <xf numFmtId="168" fontId="3" fillId="0" borderId="18" xfId="0" applyNumberFormat="1" applyFont="1" applyBorder="1"/>
    <xf numFmtId="2" fontId="7" fillId="0" borderId="0" xfId="0" applyNumberFormat="1" applyFont="1" applyBorder="1" applyAlignment="1">
      <alignment horizontal="right"/>
    </xf>
    <xf numFmtId="0" fontId="9" fillId="0" borderId="17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 applyAlignment="1">
      <alignment horizontal="left"/>
    </xf>
    <xf numFmtId="2" fontId="9" fillId="0" borderId="6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center"/>
    </xf>
    <xf numFmtId="0" fontId="3" fillId="0" borderId="18" xfId="0" applyFont="1" applyBorder="1"/>
    <xf numFmtId="0" fontId="3" fillId="0" borderId="9" xfId="0" applyFont="1" applyBorder="1"/>
    <xf numFmtId="2" fontId="7" fillId="0" borderId="9" xfId="0" applyNumberFormat="1" applyFont="1" applyBorder="1" applyAlignment="1">
      <alignment horizontal="right"/>
    </xf>
    <xf numFmtId="2" fontId="7" fillId="0" borderId="28" xfId="0" applyNumberFormat="1" applyFont="1" applyBorder="1" applyAlignment="1">
      <alignment horizontal="right"/>
    </xf>
    <xf numFmtId="2" fontId="7" fillId="0" borderId="14" xfId="0" applyNumberFormat="1" applyFont="1" applyBorder="1" applyAlignment="1">
      <alignment horizontal="right"/>
    </xf>
    <xf numFmtId="2" fontId="7" fillId="0" borderId="17" xfId="0" applyNumberFormat="1" applyFont="1" applyBorder="1"/>
    <xf numFmtId="0" fontId="7" fillId="0" borderId="0" xfId="0" applyFont="1" applyBorder="1" applyAlignment="1">
      <alignment horizontal="left"/>
    </xf>
    <xf numFmtId="0" fontId="7" fillId="0" borderId="29" xfId="0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5" xfId="0" applyFont="1" applyBorder="1"/>
    <xf numFmtId="166" fontId="7" fillId="0" borderId="0" xfId="0" applyNumberFormat="1" applyFont="1"/>
    <xf numFmtId="177" fontId="7" fillId="0" borderId="4" xfId="0" applyNumberFormat="1" applyFont="1" applyBorder="1" applyAlignment="1">
      <alignment horizontal="right"/>
    </xf>
    <xf numFmtId="2" fontId="7" fillId="0" borderId="18" xfId="0" applyNumberFormat="1" applyFont="1" applyBorder="1"/>
    <xf numFmtId="166" fontId="7" fillId="0" borderId="18" xfId="0" applyNumberFormat="1" applyFont="1" applyBorder="1"/>
    <xf numFmtId="2" fontId="7" fillId="0" borderId="5" xfId="0" applyNumberFormat="1" applyFont="1" applyBorder="1" applyAlignment="1">
      <alignment horizontal="center"/>
    </xf>
    <xf numFmtId="175" fontId="7" fillId="0" borderId="4" xfId="0" applyNumberFormat="1" applyFont="1" applyBorder="1" applyAlignment="1">
      <alignment horizontal="right"/>
    </xf>
    <xf numFmtId="2" fontId="7" fillId="0" borderId="18" xfId="0" applyNumberFormat="1" applyFont="1" applyBorder="1" applyAlignment="1">
      <alignment horizontal="right"/>
    </xf>
    <xf numFmtId="166" fontId="7" fillId="0" borderId="5" xfId="0" applyNumberFormat="1" applyFont="1" applyBorder="1"/>
    <xf numFmtId="2" fontId="7" fillId="0" borderId="5" xfId="0" applyNumberFormat="1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5" xfId="0" applyFont="1" applyBorder="1"/>
    <xf numFmtId="165" fontId="7" fillId="0" borderId="5" xfId="0" applyNumberFormat="1" applyFont="1" applyBorder="1"/>
    <xf numFmtId="2" fontId="7" fillId="0" borderId="4" xfId="0" applyNumberFormat="1" applyFont="1" applyBorder="1" applyAlignment="1">
      <alignment horizontal="right"/>
    </xf>
    <xf numFmtId="175" fontId="7" fillId="0" borderId="17" xfId="0" applyNumberFormat="1" applyFont="1" applyBorder="1" applyAlignment="1">
      <alignment horizontal="right"/>
    </xf>
    <xf numFmtId="2" fontId="7" fillId="0" borderId="9" xfId="0" applyNumberFormat="1" applyFont="1" applyBorder="1"/>
    <xf numFmtId="166" fontId="7" fillId="0" borderId="10" xfId="0" applyNumberFormat="1" applyFont="1" applyBorder="1"/>
    <xf numFmtId="2" fontId="7" fillId="0" borderId="5" xfId="0" applyNumberFormat="1" applyFont="1" applyBorder="1"/>
    <xf numFmtId="0" fontId="9" fillId="0" borderId="5" xfId="0" applyFont="1" applyBorder="1" applyAlignment="1">
      <alignment horizontal="center"/>
    </xf>
    <xf numFmtId="178" fontId="7" fillId="0" borderId="18" xfId="0" applyNumberFormat="1" applyFont="1" applyBorder="1" applyAlignment="1">
      <alignment horizontal="left"/>
    </xf>
    <xf numFmtId="176" fontId="7" fillId="0" borderId="5" xfId="0" applyNumberFormat="1" applyFont="1" applyBorder="1" applyAlignment="1">
      <alignment horizontal="left"/>
    </xf>
    <xf numFmtId="165" fontId="7" fillId="0" borderId="5" xfId="0" applyNumberFormat="1" applyFont="1" applyBorder="1" applyAlignment="1">
      <alignment horizontal="right"/>
    </xf>
    <xf numFmtId="168" fontId="7" fillId="0" borderId="9" xfId="0" applyNumberFormat="1" applyFont="1" applyBorder="1"/>
    <xf numFmtId="168" fontId="7" fillId="0" borderId="18" xfId="0" applyNumberFormat="1" applyFont="1" applyBorder="1"/>
    <xf numFmtId="179" fontId="7" fillId="0" borderId="5" xfId="0" applyNumberFormat="1" applyFont="1" applyBorder="1" applyAlignment="1">
      <alignment horizontal="center"/>
    </xf>
    <xf numFmtId="164" fontId="7" fillId="0" borderId="4" xfId="0" applyNumberFormat="1" applyFont="1" applyBorder="1"/>
    <xf numFmtId="165" fontId="7" fillId="0" borderId="18" xfId="0" applyNumberFormat="1" applyFont="1" applyBorder="1"/>
    <xf numFmtId="0" fontId="9" fillId="0" borderId="18" xfId="0" applyFont="1" applyBorder="1"/>
    <xf numFmtId="0" fontId="9" fillId="0" borderId="18" xfId="0" applyFont="1" applyBorder="1" applyAlignment="1">
      <alignment horizontal="right"/>
    </xf>
    <xf numFmtId="2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7" fillId="0" borderId="9" xfId="0" applyFont="1" applyBorder="1"/>
    <xf numFmtId="0" fontId="7" fillId="0" borderId="9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79" fontId="7" fillId="0" borderId="18" xfId="0" applyNumberFormat="1" applyFont="1" applyBorder="1" applyAlignment="1">
      <alignment horizontal="center"/>
    </xf>
    <xf numFmtId="165" fontId="3" fillId="0" borderId="0" xfId="0" applyNumberFormat="1" applyFont="1"/>
    <xf numFmtId="2" fontId="9" fillId="0" borderId="0" xfId="0" applyNumberFormat="1" applyFont="1"/>
    <xf numFmtId="2" fontId="7" fillId="0" borderId="0" xfId="0" applyNumberFormat="1" applyFont="1"/>
    <xf numFmtId="176" fontId="7" fillId="0" borderId="10" xfId="0" applyNumberFormat="1" applyFont="1" applyBorder="1" applyAlignment="1">
      <alignment horizontal="left"/>
    </xf>
    <xf numFmtId="4" fontId="7" fillId="0" borderId="5" xfId="0" applyNumberFormat="1" applyFont="1" applyBorder="1" applyAlignment="1">
      <alignment horizontal="left"/>
    </xf>
    <xf numFmtId="4" fontId="7" fillId="0" borderId="18" xfId="0" applyNumberFormat="1" applyFont="1" applyBorder="1"/>
    <xf numFmtId="164" fontId="4" fillId="0" borderId="0" xfId="0" applyNumberFormat="1" applyFont="1" applyBorder="1"/>
    <xf numFmtId="4" fontId="7" fillId="0" borderId="9" xfId="0" applyNumberFormat="1" applyFont="1" applyBorder="1" applyAlignment="1">
      <alignment horizontal="left"/>
    </xf>
    <xf numFmtId="4" fontId="7" fillId="0" borderId="0" xfId="0" applyNumberFormat="1" applyFont="1" applyBorder="1"/>
    <xf numFmtId="4" fontId="7" fillId="0" borderId="0" xfId="0" applyNumberFormat="1" applyFont="1" applyBorder="1" applyAlignment="1">
      <alignment horizontal="left"/>
    </xf>
    <xf numFmtId="0" fontId="7" fillId="0" borderId="17" xfId="0" applyFont="1" applyBorder="1" applyAlignment="1">
      <alignment horizontal="right"/>
    </xf>
    <xf numFmtId="4" fontId="7" fillId="0" borderId="9" xfId="0" applyNumberFormat="1" applyFont="1" applyBorder="1"/>
    <xf numFmtId="0" fontId="7" fillId="0" borderId="10" xfId="0" applyFont="1" applyBorder="1"/>
    <xf numFmtId="4" fontId="7" fillId="0" borderId="5" xfId="0" applyNumberFormat="1" applyFont="1" applyBorder="1"/>
    <xf numFmtId="168" fontId="7" fillId="0" borderId="4" xfId="0" applyNumberFormat="1" applyFont="1" applyBorder="1" applyAlignment="1">
      <alignment horizontal="right"/>
    </xf>
    <xf numFmtId="164" fontId="16" fillId="0" borderId="0" xfId="0" applyNumberFormat="1" applyFont="1" applyAlignment="1">
      <alignment horizontal="right"/>
    </xf>
    <xf numFmtId="2" fontId="17" fillId="0" borderId="0" xfId="0" applyNumberFormat="1" applyFont="1" applyBorder="1" applyAlignment="1">
      <alignment horizontal="center"/>
    </xf>
    <xf numFmtId="165" fontId="17" fillId="0" borderId="0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Border="1"/>
    <xf numFmtId="0" fontId="17" fillId="0" borderId="0" xfId="0" applyFont="1"/>
    <xf numFmtId="164" fontId="17" fillId="0" borderId="0" xfId="0" applyNumberFormat="1" applyFont="1"/>
    <xf numFmtId="165" fontId="17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right"/>
    </xf>
    <xf numFmtId="165" fontId="7" fillId="0" borderId="0" xfId="0" applyNumberFormat="1" applyFont="1"/>
    <xf numFmtId="180" fontId="7" fillId="0" borderId="0" xfId="0" applyNumberFormat="1" applyFont="1"/>
    <xf numFmtId="2" fontId="7" fillId="0" borderId="27" xfId="0" applyNumberFormat="1" applyFont="1" applyBorder="1" applyAlignment="1">
      <alignment horizontal="center"/>
    </xf>
    <xf numFmtId="10" fontId="7" fillId="0" borderId="27" xfId="0" applyNumberFormat="1" applyFont="1" applyBorder="1"/>
    <xf numFmtId="164" fontId="8" fillId="0" borderId="1" xfId="0" applyNumberFormat="1" applyFont="1" applyBorder="1"/>
    <xf numFmtId="2" fontId="3" fillId="0" borderId="2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5" fontId="7" fillId="0" borderId="5" xfId="0" applyNumberFormat="1" applyFont="1" applyBorder="1" applyAlignment="1">
      <alignment horizontal="center"/>
    </xf>
    <xf numFmtId="0" fontId="4" fillId="0" borderId="0" xfId="0" applyFont="1"/>
    <xf numFmtId="164" fontId="4" fillId="0" borderId="0" xfId="0" applyNumberFormat="1" applyFont="1" applyBorder="1" applyAlignment="1">
      <alignment horizontal="center"/>
    </xf>
    <xf numFmtId="4" fontId="1" fillId="0" borderId="6" xfId="0" applyNumberFormat="1" applyFont="1" applyBorder="1"/>
    <xf numFmtId="0" fontId="1" fillId="0" borderId="6" xfId="0" applyFont="1" applyBorder="1" applyAlignment="1">
      <alignment horizontal="right"/>
    </xf>
    <xf numFmtId="2" fontId="1" fillId="0" borderId="6" xfId="0" applyNumberFormat="1" applyFont="1" applyBorder="1"/>
    <xf numFmtId="4" fontId="1" fillId="0" borderId="6" xfId="0" applyNumberFormat="1" applyFont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2" fontId="2" fillId="0" borderId="6" xfId="0" applyNumberFormat="1" applyFont="1" applyBorder="1"/>
    <xf numFmtId="2" fontId="2" fillId="0" borderId="6" xfId="0" applyNumberFormat="1" applyFont="1" applyBorder="1" applyAlignment="1">
      <alignment horizontal="right"/>
    </xf>
    <xf numFmtId="165" fontId="3" fillId="0" borderId="0" xfId="0" applyNumberFormat="1" applyFont="1" applyBorder="1"/>
    <xf numFmtId="2" fontId="1" fillId="0" borderId="6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164" fontId="1" fillId="0" borderId="0" xfId="0" applyNumberFormat="1" applyFont="1" applyAlignment="1">
      <alignment horizontal="right"/>
    </xf>
    <xf numFmtId="0" fontId="12" fillId="0" borderId="24" xfId="0" applyFont="1" applyBorder="1" applyAlignment="1">
      <alignment horizontal="right"/>
    </xf>
    <xf numFmtId="4" fontId="8" fillId="0" borderId="19" xfId="0" applyNumberFormat="1" applyFont="1" applyBorder="1" applyAlignment="1">
      <alignment horizontal="left"/>
    </xf>
    <xf numFmtId="0" fontId="12" fillId="0" borderId="19" xfId="0" applyFont="1" applyBorder="1"/>
    <xf numFmtId="168" fontId="12" fillId="0" borderId="19" xfId="0" applyNumberFormat="1" applyFont="1" applyBorder="1"/>
    <xf numFmtId="0" fontId="7" fillId="0" borderId="14" xfId="0" applyFont="1" applyBorder="1"/>
    <xf numFmtId="0" fontId="7" fillId="0" borderId="11" xfId="0" applyFont="1" applyBorder="1" applyAlignment="1">
      <alignment horizontal="right"/>
    </xf>
    <xf numFmtId="164" fontId="7" fillId="0" borderId="13" xfId="0" applyNumberFormat="1" applyFont="1" applyBorder="1"/>
    <xf numFmtId="4" fontId="8" fillId="0" borderId="19" xfId="0" applyNumberFormat="1" applyFont="1" applyBorder="1" applyAlignment="1">
      <alignment horizontal="center"/>
    </xf>
    <xf numFmtId="0" fontId="13" fillId="0" borderId="18" xfId="0" applyFont="1" applyBorder="1" applyAlignment="1">
      <alignment horizontal="right"/>
    </xf>
    <xf numFmtId="166" fontId="7" fillId="0" borderId="6" xfId="0" applyNumberFormat="1" applyFont="1" applyBorder="1" applyAlignment="1">
      <alignment horizontal="center"/>
    </xf>
    <xf numFmtId="172" fontId="2" fillId="0" borderId="0" xfId="0" applyNumberFormat="1" applyFont="1"/>
    <xf numFmtId="0" fontId="3" fillId="0" borderId="21" xfId="0" applyFont="1" applyBorder="1"/>
    <xf numFmtId="164" fontId="4" fillId="0" borderId="0" xfId="0" applyNumberFormat="1" applyFont="1" applyBorder="1" applyAlignment="1">
      <alignment horizontal="left"/>
    </xf>
    <xf numFmtId="2" fontId="3" fillId="0" borderId="5" xfId="0" applyNumberFormat="1" applyFont="1" applyBorder="1"/>
    <xf numFmtId="168" fontId="3" fillId="0" borderId="4" xfId="0" applyNumberFormat="1" applyFont="1" applyBorder="1" applyAlignment="1">
      <alignment horizontal="right"/>
    </xf>
    <xf numFmtId="164" fontId="8" fillId="0" borderId="24" xfId="0" applyNumberFormat="1" applyFont="1" applyBorder="1"/>
    <xf numFmtId="0" fontId="8" fillId="0" borderId="20" xfId="0" applyFont="1" applyBorder="1"/>
    <xf numFmtId="164" fontId="8" fillId="0" borderId="19" xfId="0" applyNumberFormat="1" applyFont="1" applyBorder="1" applyAlignment="1">
      <alignment horizontal="center"/>
    </xf>
    <xf numFmtId="165" fontId="8" fillId="0" borderId="19" xfId="0" applyNumberFormat="1" applyFont="1" applyBorder="1"/>
    <xf numFmtId="0" fontId="8" fillId="0" borderId="25" xfId="0" applyFont="1" applyBorder="1"/>
    <xf numFmtId="164" fontId="4" fillId="0" borderId="30" xfId="0" applyNumberFormat="1" applyFont="1" applyBorder="1"/>
    <xf numFmtId="164" fontId="8" fillId="0" borderId="2" xfId="0" applyNumberFormat="1" applyFont="1" applyBorder="1"/>
    <xf numFmtId="10" fontId="3" fillId="0" borderId="11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0" fontId="7" fillId="0" borderId="18" xfId="0" applyNumberFormat="1" applyFont="1" applyBorder="1" applyAlignment="1">
      <alignment horizontal="center"/>
    </xf>
    <xf numFmtId="2" fontId="3" fillId="0" borderId="17" xfId="0" applyNumberFormat="1" applyFont="1" applyBorder="1"/>
    <xf numFmtId="2" fontId="3" fillId="0" borderId="7" xfId="0" applyNumberFormat="1" applyFont="1" applyBorder="1" applyAlignment="1">
      <alignment horizontal="right"/>
    </xf>
    <xf numFmtId="2" fontId="3" fillId="0" borderId="31" xfId="0" applyNumberFormat="1" applyFont="1" applyBorder="1"/>
    <xf numFmtId="2" fontId="3" fillId="0" borderId="32" xfId="0" applyNumberFormat="1" applyFont="1" applyBorder="1" applyAlignment="1">
      <alignment horizontal="right"/>
    </xf>
    <xf numFmtId="165" fontId="3" fillId="0" borderId="32" xfId="0" applyNumberFormat="1" applyFont="1" applyBorder="1" applyAlignment="1">
      <alignment horizontal="right"/>
    </xf>
    <xf numFmtId="2" fontId="3" fillId="0" borderId="13" xfId="0" applyNumberFormat="1" applyFont="1" applyBorder="1"/>
    <xf numFmtId="165" fontId="3" fillId="0" borderId="8" xfId="0" applyNumberFormat="1" applyFont="1" applyBorder="1" applyAlignment="1">
      <alignment horizontal="right"/>
    </xf>
    <xf numFmtId="2" fontId="7" fillId="0" borderId="28" xfId="0" applyNumberFormat="1" applyFont="1" applyBorder="1"/>
    <xf numFmtId="0" fontId="7" fillId="0" borderId="28" xfId="0" applyFont="1" applyBorder="1"/>
    <xf numFmtId="2" fontId="7" fillId="0" borderId="14" xfId="0" applyNumberFormat="1" applyFont="1" applyBorder="1"/>
    <xf numFmtId="164" fontId="8" fillId="0" borderId="33" xfId="0" applyNumberFormat="1" applyFont="1" applyBorder="1"/>
    <xf numFmtId="0" fontId="8" fillId="0" borderId="34" xfId="0" applyFont="1" applyBorder="1"/>
    <xf numFmtId="0" fontId="8" fillId="0" borderId="34" xfId="0" applyFont="1" applyBorder="1" applyAlignment="1">
      <alignment horizontal="right"/>
    </xf>
    <xf numFmtId="0" fontId="8" fillId="0" borderId="34" xfId="0" applyFont="1" applyBorder="1" applyAlignment="1">
      <alignment horizontal="center"/>
    </xf>
    <xf numFmtId="2" fontId="13" fillId="0" borderId="21" xfId="0" applyNumberFormat="1" applyFont="1" applyBorder="1"/>
    <xf numFmtId="2" fontId="13" fillId="0" borderId="35" xfId="0" applyNumberFormat="1" applyFont="1" applyBorder="1" applyAlignment="1">
      <alignment horizontal="center"/>
    </xf>
    <xf numFmtId="0" fontId="13" fillId="0" borderId="0" xfId="0" applyFont="1" applyBorder="1"/>
    <xf numFmtId="0" fontId="13" fillId="0" borderId="21" xfId="0" applyFont="1" applyBorder="1" applyAlignment="1">
      <alignment horizontal="right"/>
    </xf>
    <xf numFmtId="0" fontId="13" fillId="0" borderId="21" xfId="0" applyFont="1" applyBorder="1"/>
    <xf numFmtId="165" fontId="13" fillId="0" borderId="36" xfId="0" applyNumberFormat="1" applyFont="1" applyBorder="1" applyAlignment="1">
      <alignment horizontal="center"/>
    </xf>
    <xf numFmtId="0" fontId="13" fillId="0" borderId="37" xfId="0" applyFont="1" applyBorder="1"/>
    <xf numFmtId="0" fontId="7" fillId="0" borderId="38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164" fontId="3" fillId="0" borderId="40" xfId="0" applyNumberFormat="1" applyFont="1" applyBorder="1"/>
    <xf numFmtId="164" fontId="7" fillId="0" borderId="26" xfId="0" applyNumberFormat="1" applyFont="1" applyBorder="1" applyAlignment="1">
      <alignment horizontal="center"/>
    </xf>
    <xf numFmtId="164" fontId="7" fillId="0" borderId="29" xfId="0" applyNumberFormat="1" applyFont="1" applyBorder="1" applyAlignment="1">
      <alignment horizontal="center"/>
    </xf>
    <xf numFmtId="0" fontId="3" fillId="0" borderId="40" xfId="0" applyFont="1" applyBorder="1"/>
    <xf numFmtId="165" fontId="7" fillId="0" borderId="27" xfId="0" applyNumberFormat="1" applyFont="1" applyBorder="1" applyAlignment="1">
      <alignment horizontal="center"/>
    </xf>
    <xf numFmtId="4" fontId="7" fillId="0" borderId="9" xfId="0" applyNumberFormat="1" applyFont="1" applyBorder="1" applyAlignment="1">
      <alignment horizontal="right"/>
    </xf>
    <xf numFmtId="165" fontId="7" fillId="0" borderId="12" xfId="0" applyNumberFormat="1" applyFont="1" applyBorder="1" applyAlignment="1">
      <alignment horizontal="center"/>
    </xf>
    <xf numFmtId="165" fontId="7" fillId="0" borderId="15" xfId="0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2" fontId="18" fillId="0" borderId="7" xfId="0" applyNumberFormat="1" applyFont="1" applyBorder="1" applyAlignment="1">
      <alignment horizontal="center"/>
    </xf>
    <xf numFmtId="0" fontId="3" fillId="0" borderId="41" xfId="0" applyFont="1" applyBorder="1"/>
    <xf numFmtId="0" fontId="3" fillId="0" borderId="37" xfId="0" applyFont="1" applyBorder="1"/>
    <xf numFmtId="166" fontId="7" fillId="0" borderId="27" xfId="0" applyNumberFormat="1" applyFont="1" applyBorder="1" applyAlignment="1">
      <alignment horizontal="center"/>
    </xf>
    <xf numFmtId="2" fontId="13" fillId="0" borderId="21" xfId="0" applyNumberFormat="1" applyFont="1" applyBorder="1" applyAlignment="1">
      <alignment horizontal="right"/>
    </xf>
    <xf numFmtId="10" fontId="7" fillId="0" borderId="6" xfId="0" applyNumberFormat="1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181" fontId="7" fillId="0" borderId="0" xfId="0" applyNumberFormat="1" applyFont="1"/>
    <xf numFmtId="0" fontId="7" fillId="0" borderId="0" xfId="0" quotePrefix="1" applyFont="1" applyBorder="1" applyAlignment="1">
      <alignment horizontal="right"/>
    </xf>
    <xf numFmtId="2" fontId="9" fillId="0" borderId="29" xfId="0" applyNumberFormat="1" applyFont="1" applyBorder="1" applyAlignment="1">
      <alignment horizontal="center"/>
    </xf>
    <xf numFmtId="2" fontId="9" fillId="0" borderId="29" xfId="0" applyNumberFormat="1" applyFont="1" applyBorder="1" applyAlignment="1">
      <alignment horizontal="left"/>
    </xf>
    <xf numFmtId="168" fontId="4" fillId="0" borderId="0" xfId="0" applyNumberFormat="1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168" fontId="7" fillId="0" borderId="0" xfId="0" applyNumberFormat="1" applyFont="1" applyBorder="1"/>
    <xf numFmtId="4" fontId="7" fillId="0" borderId="27" xfId="0" applyNumberFormat="1" applyFont="1" applyBorder="1" applyAlignment="1">
      <alignment horizontal="center"/>
    </xf>
    <xf numFmtId="165" fontId="7" fillId="0" borderId="0" xfId="0" applyNumberFormat="1" applyFont="1" applyBorder="1"/>
    <xf numFmtId="0" fontId="7" fillId="0" borderId="18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165" fontId="7" fillId="0" borderId="14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left"/>
    </xf>
    <xf numFmtId="10" fontId="7" fillId="0" borderId="27" xfId="0" applyNumberFormat="1" applyFont="1" applyBorder="1" applyAlignment="1">
      <alignment horizontal="center"/>
    </xf>
    <xf numFmtId="9" fontId="7" fillId="0" borderId="27" xfId="0" applyNumberFormat="1" applyFont="1" applyBorder="1" applyAlignment="1">
      <alignment horizontal="center"/>
    </xf>
    <xf numFmtId="164" fontId="7" fillId="0" borderId="18" xfId="0" applyNumberFormat="1" applyFont="1" applyBorder="1"/>
    <xf numFmtId="164" fontId="9" fillId="0" borderId="18" xfId="0" applyNumberFormat="1" applyFont="1" applyBorder="1" applyAlignment="1">
      <alignment horizontal="center"/>
    </xf>
    <xf numFmtId="164" fontId="7" fillId="0" borderId="5" xfId="0" applyNumberFormat="1" applyFont="1" applyBorder="1"/>
    <xf numFmtId="164" fontId="7" fillId="0" borderId="4" xfId="0" applyNumberFormat="1" applyFont="1" applyBorder="1" applyAlignment="1">
      <alignment horizontal="right"/>
    </xf>
    <xf numFmtId="165" fontId="7" fillId="0" borderId="9" xfId="0" applyNumberFormat="1" applyFont="1" applyBorder="1"/>
    <xf numFmtId="164" fontId="7" fillId="0" borderId="9" xfId="0" applyNumberFormat="1" applyFont="1" applyBorder="1"/>
    <xf numFmtId="164" fontId="7" fillId="0" borderId="10" xfId="0" applyNumberFormat="1" applyFont="1" applyBorder="1"/>
    <xf numFmtId="165" fontId="7" fillId="0" borderId="10" xfId="0" applyNumberFormat="1" applyFont="1" applyBorder="1"/>
    <xf numFmtId="0" fontId="7" fillId="0" borderId="18" xfId="0" applyFont="1" applyBorder="1" applyAlignment="1">
      <alignment horizontal="left"/>
    </xf>
    <xf numFmtId="166" fontId="7" fillId="0" borderId="18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3" fillId="0" borderId="43" xfId="0" applyFont="1" applyBorder="1"/>
    <xf numFmtId="0" fontId="3" fillId="0" borderId="38" xfId="0" applyFont="1" applyBorder="1"/>
    <xf numFmtId="0" fontId="3" fillId="0" borderId="44" xfId="0" applyFont="1" applyBorder="1"/>
    <xf numFmtId="0" fontId="7" fillId="0" borderId="6" xfId="0" applyFont="1" applyBorder="1"/>
    <xf numFmtId="0" fontId="7" fillId="0" borderId="4" xfId="0" applyFont="1" applyBorder="1" applyAlignment="1">
      <alignment horizontal="center"/>
    </xf>
    <xf numFmtId="4" fontId="2" fillId="0" borderId="0" xfId="0" applyNumberFormat="1" applyFont="1"/>
    <xf numFmtId="166" fontId="1" fillId="0" borderId="6" xfId="0" applyNumberFormat="1" applyFont="1" applyBorder="1" applyAlignment="1">
      <alignment horizontal="center"/>
    </xf>
    <xf numFmtId="0" fontId="8" fillId="0" borderId="19" xfId="0" applyFont="1" applyBorder="1" applyAlignment="1">
      <alignment horizontal="left"/>
    </xf>
    <xf numFmtId="0" fontId="8" fillId="0" borderId="34" xfId="0" applyFont="1" applyBorder="1" applyAlignment="1">
      <alignment horizontal="left"/>
    </xf>
    <xf numFmtId="10" fontId="7" fillId="0" borderId="1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Random Demand and Supply Quantities</a:t>
            </a:r>
          </a:p>
        </c:rich>
      </c:tx>
      <c:layout>
        <c:manualLayout>
          <c:xMode val="edge"/>
          <c:yMode val="edge"/>
          <c:x val="0.19266666392901927"/>
          <c:y val="4.2329484488872089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8687829427643791E-2"/>
          <c:y val="0.28572402029988658"/>
          <c:w val="0.87770369123219893"/>
          <c:h val="0.4391684015720479"/>
        </c:manualLayout>
      </c:layout>
      <c:lineChart>
        <c:grouping val="standard"/>
        <c:varyColors val="0"/>
        <c:ser>
          <c:idx val="0"/>
          <c:order val="0"/>
          <c:tx>
            <c:v>Random Quantity Demanded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Sheet1!$J$64:$J$83</c:f>
              <c:numCache>
                <c:formatCode>0.00</c:formatCode>
                <c:ptCount val="20"/>
                <c:pt idx="0">
                  <c:v>58.847179738550039</c:v>
                </c:pt>
                <c:pt idx="1">
                  <c:v>45.952877863182948</c:v>
                </c:pt>
                <c:pt idx="2">
                  <c:v>56.559331139320769</c:v>
                </c:pt>
                <c:pt idx="3">
                  <c:v>47.529472476812181</c:v>
                </c:pt>
                <c:pt idx="4">
                  <c:v>53.714610978884188</c:v>
                </c:pt>
                <c:pt idx="5">
                  <c:v>57.829539806161577</c:v>
                </c:pt>
                <c:pt idx="6">
                  <c:v>53.938723306114525</c:v>
                </c:pt>
                <c:pt idx="7">
                  <c:v>49.322808996561527</c:v>
                </c:pt>
                <c:pt idx="8">
                  <c:v>44.802493895258131</c:v>
                </c:pt>
                <c:pt idx="9">
                  <c:v>53.791382548430633</c:v>
                </c:pt>
                <c:pt idx="10">
                  <c:v>54.728946319354549</c:v>
                </c:pt>
                <c:pt idx="11">
                  <c:v>43.669546627498725</c:v>
                </c:pt>
                <c:pt idx="12">
                  <c:v>42.381559647837271</c:v>
                </c:pt>
                <c:pt idx="13">
                  <c:v>40.236549381483272</c:v>
                </c:pt>
                <c:pt idx="14">
                  <c:v>59.432107828147537</c:v>
                </c:pt>
                <c:pt idx="15">
                  <c:v>51.90991811124119</c:v>
                </c:pt>
                <c:pt idx="16">
                  <c:v>52.223642284698215</c:v>
                </c:pt>
                <c:pt idx="17">
                  <c:v>57.494536760548876</c:v>
                </c:pt>
                <c:pt idx="18">
                  <c:v>40.261079546482854</c:v>
                </c:pt>
                <c:pt idx="19">
                  <c:v>59.986230563907959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4-A84B-9042-02E9BC844984}"/>
            </c:ext>
          </c:extLst>
        </c:ser>
        <c:ser>
          <c:idx val="1"/>
          <c:order val="1"/>
          <c:tx>
            <c:v>Random Quantity Supplied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D080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Sheet1!$K$64:$K$83</c:f>
              <c:numCache>
                <c:formatCode>0.00</c:formatCode>
                <c:ptCount val="20"/>
                <c:pt idx="0">
                  <c:v>53.810623850022239</c:v>
                </c:pt>
                <c:pt idx="1">
                  <c:v>51.279982840133016</c:v>
                </c:pt>
                <c:pt idx="2">
                  <c:v>51.410754896870081</c:v>
                </c:pt>
                <c:pt idx="3">
                  <c:v>52.558647499556287</c:v>
                </c:pt>
                <c:pt idx="4">
                  <c:v>51.805914956596055</c:v>
                </c:pt>
                <c:pt idx="5">
                  <c:v>52.864639552302684</c:v>
                </c:pt>
                <c:pt idx="6">
                  <c:v>46.637067433412653</c:v>
                </c:pt>
                <c:pt idx="7">
                  <c:v>49.110859542030717</c:v>
                </c:pt>
                <c:pt idx="8">
                  <c:v>53.519560647821862</c:v>
                </c:pt>
                <c:pt idx="9">
                  <c:v>50.789714762574235</c:v>
                </c:pt>
                <c:pt idx="10">
                  <c:v>46.55582363543855</c:v>
                </c:pt>
                <c:pt idx="11">
                  <c:v>53.139573825573734</c:v>
                </c:pt>
                <c:pt idx="12">
                  <c:v>51.203950717922844</c:v>
                </c:pt>
                <c:pt idx="13">
                  <c:v>52.31108497848362</c:v>
                </c:pt>
                <c:pt idx="14">
                  <c:v>50.434688639655413</c:v>
                </c:pt>
                <c:pt idx="15">
                  <c:v>48.637417701183878</c:v>
                </c:pt>
                <c:pt idx="16">
                  <c:v>53.097408261506857</c:v>
                </c:pt>
                <c:pt idx="17">
                  <c:v>46.9359431849294</c:v>
                </c:pt>
                <c:pt idx="18">
                  <c:v>48.356626698223742</c:v>
                </c:pt>
                <c:pt idx="19">
                  <c:v>53.764969479096095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D4-A84B-9042-02E9BC844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552383"/>
        <c:axId val="1"/>
      </c:lineChart>
      <c:catAx>
        <c:axId val="134255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342552383"/>
        <c:crosses val="autoZero"/>
        <c:crossBetween val="between"/>
        <c:majorUnit val="20"/>
        <c:minorUnit val="15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5629628412897452E-2"/>
          <c:y val="0.85188087533855072"/>
          <c:w val="0.85323808311422822"/>
          <c:h val="8.465896897774417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Partial Stabilization Price Band </a:t>
            </a:r>
          </a:p>
          <a:p>
            <a:pPr>
              <a:defRPr sz="1025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with Unadjusted Random Price</a:t>
            </a:r>
          </a:p>
        </c:rich>
      </c:tx>
      <c:layout>
        <c:manualLayout>
          <c:xMode val="edge"/>
          <c:yMode val="edge"/>
          <c:x val="0.26332220413630514"/>
          <c:y val="3.4884932020030401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24297051368494"/>
          <c:y val="0.20155738500462009"/>
          <c:w val="0.85505749433024936"/>
          <c:h val="0.58916774078273559"/>
        </c:manualLayout>
      </c:layout>
      <c:lineChart>
        <c:grouping val="standard"/>
        <c:varyColors val="0"/>
        <c:ser>
          <c:idx val="0"/>
          <c:order val="0"/>
          <c:tx>
            <c:v>Upper Price Limit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Sheet1!$G$283:$G$302</c:f>
              <c:numCache>
                <c:formatCode>"$"#,##0.00</c:formatCode>
                <c:ptCount val="20"/>
                <c:pt idx="0">
                  <c:v>42</c:v>
                </c:pt>
                <c:pt idx="1">
                  <c:v>42</c:v>
                </c:pt>
                <c:pt idx="2">
                  <c:v>42</c:v>
                </c:pt>
                <c:pt idx="3">
                  <c:v>42</c:v>
                </c:pt>
                <c:pt idx="4">
                  <c:v>42</c:v>
                </c:pt>
                <c:pt idx="5">
                  <c:v>42</c:v>
                </c:pt>
                <c:pt idx="6">
                  <c:v>42</c:v>
                </c:pt>
                <c:pt idx="7">
                  <c:v>42</c:v>
                </c:pt>
                <c:pt idx="8">
                  <c:v>42</c:v>
                </c:pt>
                <c:pt idx="9">
                  <c:v>42</c:v>
                </c:pt>
                <c:pt idx="10">
                  <c:v>42</c:v>
                </c:pt>
                <c:pt idx="11">
                  <c:v>42</c:v>
                </c:pt>
                <c:pt idx="12">
                  <c:v>42</c:v>
                </c:pt>
                <c:pt idx="13">
                  <c:v>42</c:v>
                </c:pt>
                <c:pt idx="14">
                  <c:v>42</c:v>
                </c:pt>
                <c:pt idx="15">
                  <c:v>42</c:v>
                </c:pt>
                <c:pt idx="16">
                  <c:v>42</c:v>
                </c:pt>
                <c:pt idx="17">
                  <c:v>42</c:v>
                </c:pt>
                <c:pt idx="18">
                  <c:v>42</c:v>
                </c:pt>
                <c:pt idx="19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67-1246-8A52-0CA76924EC01}"/>
            </c:ext>
          </c:extLst>
        </c:ser>
        <c:ser>
          <c:idx val="1"/>
          <c:order val="1"/>
          <c:tx>
            <c:v>Lower Price Limit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2088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Sheet1!$H$283:$H$302</c:f>
              <c:numCache>
                <c:formatCode>"$"#,##0.00</c:formatCode>
                <c:ptCount val="20"/>
                <c:pt idx="0">
                  <c:v>38.095238095238095</c:v>
                </c:pt>
                <c:pt idx="1">
                  <c:v>38.095238095238095</c:v>
                </c:pt>
                <c:pt idx="2">
                  <c:v>38.095238095238095</c:v>
                </c:pt>
                <c:pt idx="3">
                  <c:v>38.095238095238095</c:v>
                </c:pt>
                <c:pt idx="4">
                  <c:v>38.095238095238095</c:v>
                </c:pt>
                <c:pt idx="5">
                  <c:v>38.095238095238095</c:v>
                </c:pt>
                <c:pt idx="6">
                  <c:v>38.095238095238095</c:v>
                </c:pt>
                <c:pt idx="7">
                  <c:v>38.095238095238095</c:v>
                </c:pt>
                <c:pt idx="8">
                  <c:v>38.095238095238095</c:v>
                </c:pt>
                <c:pt idx="9">
                  <c:v>38.095238095238095</c:v>
                </c:pt>
                <c:pt idx="10">
                  <c:v>38.095238095238095</c:v>
                </c:pt>
                <c:pt idx="11">
                  <c:v>38.095238095238095</c:v>
                </c:pt>
                <c:pt idx="12">
                  <c:v>38.095238095238095</c:v>
                </c:pt>
                <c:pt idx="13">
                  <c:v>38.095238095238095</c:v>
                </c:pt>
                <c:pt idx="14">
                  <c:v>38.095238095238095</c:v>
                </c:pt>
                <c:pt idx="15">
                  <c:v>38.095238095238095</c:v>
                </c:pt>
                <c:pt idx="16">
                  <c:v>38.095238095238095</c:v>
                </c:pt>
                <c:pt idx="17">
                  <c:v>38.095238095238095</c:v>
                </c:pt>
                <c:pt idx="18">
                  <c:v>38.095238095238095</c:v>
                </c:pt>
                <c:pt idx="19">
                  <c:v>38.095238095238095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7-1246-8A52-0CA76924EC01}"/>
            </c:ext>
          </c:extLst>
        </c:ser>
        <c:ser>
          <c:idx val="2"/>
          <c:order val="2"/>
          <c:tx>
            <c:v>Unadjusted Random Price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Sheet1!$I$283:$I$302</c:f>
              <c:numCache>
                <c:formatCode>"$"#,##0.00</c:formatCode>
                <c:ptCount val="20"/>
                <c:pt idx="0">
                  <c:v>41.34308157027408</c:v>
                </c:pt>
                <c:pt idx="1">
                  <c:v>38.579438672813318</c:v>
                </c:pt>
                <c:pt idx="2">
                  <c:v>41.372953664653522</c:v>
                </c:pt>
                <c:pt idx="3">
                  <c:v>38.658886660601574</c:v>
                </c:pt>
                <c:pt idx="4">
                  <c:v>40.508985605943508</c:v>
                </c:pt>
                <c:pt idx="5">
                  <c:v>41.32397340102905</c:v>
                </c:pt>
                <c:pt idx="6">
                  <c:v>41.947108232720502</c:v>
                </c:pt>
                <c:pt idx="7">
                  <c:v>40.056519854541556</c:v>
                </c:pt>
                <c:pt idx="8">
                  <c:v>37.675448865983007</c:v>
                </c:pt>
                <c:pt idx="9">
                  <c:v>40.800444742895046</c:v>
                </c:pt>
                <c:pt idx="10">
                  <c:v>42.179499382377607</c:v>
                </c:pt>
                <c:pt idx="11">
                  <c:v>37.474659413846673</c:v>
                </c:pt>
                <c:pt idx="12">
                  <c:v>37.647362381310522</c:v>
                </c:pt>
                <c:pt idx="13">
                  <c:v>36.780123840799909</c:v>
                </c:pt>
                <c:pt idx="14">
                  <c:v>42.399311783597909</c:v>
                </c:pt>
                <c:pt idx="15">
                  <c:v>40.872666776015286</c:v>
                </c:pt>
                <c:pt idx="16">
                  <c:v>39.766995739517697</c:v>
                </c:pt>
                <c:pt idx="17">
                  <c:v>42.815624953498528</c:v>
                </c:pt>
                <c:pt idx="18">
                  <c:v>37.841187426202431</c:v>
                </c:pt>
                <c:pt idx="19">
                  <c:v>41.65900295594983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67-1246-8A52-0CA76924E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784431"/>
        <c:axId val="1"/>
      </c:lineChart>
      <c:catAx>
        <c:axId val="119678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196784431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538838158781911"/>
          <c:y val="0.86049498982741657"/>
          <c:w val="0.82251205336958244"/>
          <c:h val="0.100778692502310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Random Equilibrium Quantity</a:t>
            </a:r>
          </a:p>
        </c:rich>
      </c:tx>
      <c:layout>
        <c:manualLayout>
          <c:xMode val="edge"/>
          <c:yMode val="edge"/>
          <c:x val="0.17749489904036958"/>
          <c:y val="4.0231236298966903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255774085486851"/>
          <c:y val="0.23564009832252042"/>
          <c:w val="0.83552476865344705"/>
          <c:h val="0.4425435992886359"/>
        </c:manualLayout>
      </c:layout>
      <c:lineChart>
        <c:grouping val="standard"/>
        <c:varyColors val="0"/>
        <c:ser>
          <c:idx val="0"/>
          <c:order val="0"/>
          <c:tx>
            <c:v>Random Market Equilibrium Quantity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DD080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Sheet1!$E$414:$E$433</c:f>
              <c:numCache>
                <c:formatCode>0.00</c:formatCode>
                <c:ptCount val="20"/>
                <c:pt idx="0">
                  <c:v>57.168327775707432</c:v>
                </c:pt>
                <c:pt idx="1">
                  <c:v>47.728579522166299</c:v>
                </c:pt>
                <c:pt idx="2">
                  <c:v>54.843139058503866</c:v>
                </c:pt>
                <c:pt idx="3">
                  <c:v>49.205864151060211</c:v>
                </c:pt>
                <c:pt idx="4">
                  <c:v>53.078378971454804</c:v>
                </c:pt>
                <c:pt idx="5">
                  <c:v>56.174573054875268</c:v>
                </c:pt>
                <c:pt idx="6">
                  <c:v>51.504838015213899</c:v>
                </c:pt>
                <c:pt idx="7">
                  <c:v>49.252159178384581</c:v>
                </c:pt>
                <c:pt idx="8">
                  <c:v>47.70818281277937</c:v>
                </c:pt>
                <c:pt idx="9">
                  <c:v>52.790826619811824</c:v>
                </c:pt>
                <c:pt idx="10">
                  <c:v>52.004572091382542</c:v>
                </c:pt>
                <c:pt idx="11">
                  <c:v>46.826222360190386</c:v>
                </c:pt>
                <c:pt idx="12">
                  <c:v>45.322356671199124</c:v>
                </c:pt>
                <c:pt idx="13">
                  <c:v>44.261394580483383</c:v>
                </c:pt>
                <c:pt idx="14">
                  <c:v>56.43296809865015</c:v>
                </c:pt>
                <c:pt idx="15">
                  <c:v>50.819084641222084</c:v>
                </c:pt>
                <c:pt idx="16">
                  <c:v>52.514897610301091</c:v>
                </c:pt>
                <c:pt idx="17">
                  <c:v>53.975005568675712</c:v>
                </c:pt>
                <c:pt idx="18">
                  <c:v>42.95959526372981</c:v>
                </c:pt>
                <c:pt idx="19">
                  <c:v>57.912476868970671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4-924C-8C90-986CE17C0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274543"/>
        <c:axId val="1"/>
      </c:lineChart>
      <c:catAx>
        <c:axId val="119727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197274543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389945309680171"/>
          <c:y val="0.83910864280702391"/>
          <c:w val="0.77924589822601276"/>
          <c:h val="9.19571115404957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Random Equilibrium Price</a:t>
            </a:r>
          </a:p>
        </c:rich>
      </c:tx>
      <c:layout>
        <c:manualLayout>
          <c:xMode val="edge"/>
          <c:yMode val="edge"/>
          <c:x val="0.25110962626158062"/>
          <c:y val="4.545618882879271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674064175077204"/>
          <c:y val="0.21023487333316629"/>
          <c:w val="0.77976147102280291"/>
          <c:h val="0.47728998270232348"/>
        </c:manualLayout>
      </c:layout>
      <c:lineChart>
        <c:grouping val="standard"/>
        <c:varyColors val="0"/>
        <c:ser>
          <c:idx val="0"/>
          <c:order val="0"/>
          <c:tx>
            <c:v>Random Market Equilibrium Price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Sheet1!$D$255:$D$274</c:f>
              <c:numCache>
                <c:formatCode>"$"#,##0.00</c:formatCode>
                <c:ptCount val="20"/>
                <c:pt idx="0">
                  <c:v>41.34308157027408</c:v>
                </c:pt>
                <c:pt idx="1">
                  <c:v>38.579438672813318</c:v>
                </c:pt>
                <c:pt idx="2">
                  <c:v>41.372953664653522</c:v>
                </c:pt>
                <c:pt idx="3">
                  <c:v>38.658886660601574</c:v>
                </c:pt>
                <c:pt idx="4">
                  <c:v>40.508985605943508</c:v>
                </c:pt>
                <c:pt idx="5">
                  <c:v>41.32397340102905</c:v>
                </c:pt>
                <c:pt idx="6">
                  <c:v>41.947108232720502</c:v>
                </c:pt>
                <c:pt idx="7">
                  <c:v>40.056519854541556</c:v>
                </c:pt>
                <c:pt idx="8">
                  <c:v>37.675448865983007</c:v>
                </c:pt>
                <c:pt idx="9">
                  <c:v>40.800444742895046</c:v>
                </c:pt>
                <c:pt idx="10">
                  <c:v>42.179499382377607</c:v>
                </c:pt>
                <c:pt idx="11">
                  <c:v>37.474659413846673</c:v>
                </c:pt>
                <c:pt idx="12">
                  <c:v>37.647362381310522</c:v>
                </c:pt>
                <c:pt idx="13">
                  <c:v>36.780123840799909</c:v>
                </c:pt>
                <c:pt idx="14">
                  <c:v>42.399311783597909</c:v>
                </c:pt>
                <c:pt idx="15">
                  <c:v>40.872666776015286</c:v>
                </c:pt>
                <c:pt idx="16">
                  <c:v>39.766995739517697</c:v>
                </c:pt>
                <c:pt idx="17">
                  <c:v>42.815624953498528</c:v>
                </c:pt>
                <c:pt idx="18">
                  <c:v>37.841187426202431</c:v>
                </c:pt>
                <c:pt idx="19">
                  <c:v>41.65900295594983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2-8C48-87E9-8BCFC440C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757535"/>
        <c:axId val="1"/>
      </c:lineChart>
      <c:catAx>
        <c:axId val="119675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196757535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335209711095187"/>
          <c:y val="0.82957544612546696"/>
          <c:w val="0.73130171858635751"/>
          <c:h val="9.09123776575854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Random Total Revenue</a:t>
            </a:r>
          </a:p>
        </c:rich>
      </c:tx>
      <c:layout>
        <c:manualLayout>
          <c:xMode val="edge"/>
          <c:yMode val="edge"/>
          <c:x val="0.29091806991168701"/>
          <c:y val="5.1138212432391798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9091498337954463"/>
          <c:y val="0.21023487333316629"/>
          <c:w val="0.75456874383343819"/>
          <c:h val="0.46592593549512529"/>
        </c:manualLayout>
      </c:layout>
      <c:lineChart>
        <c:grouping val="standard"/>
        <c:varyColors val="0"/>
        <c:ser>
          <c:idx val="0"/>
          <c:order val="0"/>
          <c:tx>
            <c:v>Random Market Total Revenue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Sheet1!$F$414:$F$433</c:f>
              <c:numCache>
                <c:formatCode>"$"#,##0.00</c:formatCode>
                <c:ptCount val="20"/>
                <c:pt idx="0">
                  <c:v>2363.514838467238</c:v>
                </c:pt>
                <c:pt idx="1">
                  <c:v>1841.3418066159084</c:v>
                </c:pt>
                <c:pt idx="2">
                  <c:v>2269.0226510916305</c:v>
                </c:pt>
                <c:pt idx="3">
                  <c:v>1902.2439252527947</c:v>
                </c:pt>
                <c:pt idx="4">
                  <c:v>2150.1512897414773</c:v>
                </c:pt>
                <c:pt idx="5">
                  <c:v>2321.3565627338289</c:v>
                </c:pt>
                <c:pt idx="6">
                  <c:v>2160.4790147329149</c:v>
                </c:pt>
                <c:pt idx="7">
                  <c:v>1972.870092008003</c:v>
                </c:pt>
                <c:pt idx="8">
                  <c:v>1797.4272020518385</c:v>
                </c:pt>
                <c:pt idx="9">
                  <c:v>2153.8892044333852</c:v>
                </c:pt>
                <c:pt idx="10">
                  <c:v>2193.5268164092818</c:v>
                </c:pt>
                <c:pt idx="11">
                  <c:v>1754.7967345851862</c:v>
                </c:pt>
                <c:pt idx="12">
                  <c:v>1706.2671855756398</c:v>
                </c:pt>
                <c:pt idx="13">
                  <c:v>1627.9395740366888</c:v>
                </c:pt>
                <c:pt idx="14">
                  <c:v>2392.7190092885021</c:v>
                </c:pt>
                <c:pt idx="15">
                  <c:v>2077.1115124027865</c:v>
                </c:pt>
                <c:pt idx="16">
                  <c:v>2088.3597095300515</c:v>
                </c:pt>
                <c:pt idx="17">
                  <c:v>2310.9735952914139</c:v>
                </c:pt>
                <c:pt idx="18">
                  <c:v>1625.642096128598</c:v>
                </c:pt>
                <c:pt idx="19">
                  <c:v>2412.5760450708253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F-1D44-AA91-24963F315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043135"/>
        <c:axId val="1"/>
      </c:lineChart>
      <c:catAx>
        <c:axId val="11970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197043135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64141432532395"/>
          <c:y val="0.82957544612546696"/>
          <c:w val="0.7136583902521072"/>
          <c:h val="9.09123776575854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Revenue Stabilized </a:t>
            </a:r>
          </a:p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Equilibrium Price</a:t>
            </a:r>
          </a:p>
        </c:rich>
      </c:tx>
      <c:layout>
        <c:manualLayout>
          <c:xMode val="edge"/>
          <c:yMode val="edge"/>
          <c:x val="0.32457245993243472"/>
          <c:y val="4.4777513098294107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3596954402574968"/>
          <c:y val="0.24876396165718948"/>
          <c:w val="0.81143114983108677"/>
          <c:h val="0.40299761788464694"/>
        </c:manualLayout>
      </c:layout>
      <c:lineChart>
        <c:grouping val="standard"/>
        <c:varyColors val="0"/>
        <c:ser>
          <c:idx val="0"/>
          <c:order val="0"/>
          <c:tx>
            <c:v>Random Market Equilibrium Price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Sheet1!$D$255:$D$274</c:f>
              <c:numCache>
                <c:formatCode>"$"#,##0.00</c:formatCode>
                <c:ptCount val="20"/>
                <c:pt idx="0">
                  <c:v>41.34308157027408</c:v>
                </c:pt>
                <c:pt idx="1">
                  <c:v>38.579438672813318</c:v>
                </c:pt>
                <c:pt idx="2">
                  <c:v>41.372953664653522</c:v>
                </c:pt>
                <c:pt idx="3">
                  <c:v>38.658886660601574</c:v>
                </c:pt>
                <c:pt idx="4">
                  <c:v>40.508985605943508</c:v>
                </c:pt>
                <c:pt idx="5">
                  <c:v>41.32397340102905</c:v>
                </c:pt>
                <c:pt idx="6">
                  <c:v>41.947108232720502</c:v>
                </c:pt>
                <c:pt idx="7">
                  <c:v>40.056519854541556</c:v>
                </c:pt>
                <c:pt idx="8">
                  <c:v>37.675448865983007</c:v>
                </c:pt>
                <c:pt idx="9">
                  <c:v>40.800444742895046</c:v>
                </c:pt>
                <c:pt idx="10">
                  <c:v>42.179499382377607</c:v>
                </c:pt>
                <c:pt idx="11">
                  <c:v>37.474659413846673</c:v>
                </c:pt>
                <c:pt idx="12">
                  <c:v>37.647362381310522</c:v>
                </c:pt>
                <c:pt idx="13">
                  <c:v>36.780123840799909</c:v>
                </c:pt>
                <c:pt idx="14">
                  <c:v>42.399311783597909</c:v>
                </c:pt>
                <c:pt idx="15">
                  <c:v>40.872666776015286</c:v>
                </c:pt>
                <c:pt idx="16">
                  <c:v>39.766995739517697</c:v>
                </c:pt>
                <c:pt idx="17">
                  <c:v>42.815624953498528</c:v>
                </c:pt>
                <c:pt idx="18">
                  <c:v>37.841187426202431</c:v>
                </c:pt>
                <c:pt idx="19">
                  <c:v>41.65900295594983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8-3045-9D2A-DAEFFB782C25}"/>
            </c:ext>
          </c:extLst>
        </c:ser>
        <c:ser>
          <c:idx val="1"/>
          <c:order val="1"/>
          <c:tx>
            <c:v>Revenue Stabilized Equilibrium Price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D080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Sheet1!$I$414:$I$433</c:f>
              <c:numCache>
                <c:formatCode>"$"#,##0.00</c:formatCode>
                <c:ptCount val="20"/>
                <c:pt idx="0">
                  <c:v>26.344879749155822</c:v>
                </c:pt>
                <c:pt idx="1">
                  <c:v>39.659644873906572</c:v>
                </c:pt>
                <c:pt idx="2">
                  <c:v>27.900194550132831</c:v>
                </c:pt>
                <c:pt idx="3">
                  <c:v>39.321595441885862</c:v>
                </c:pt>
                <c:pt idx="4">
                  <c:v>30.482422883667795</c:v>
                </c:pt>
                <c:pt idx="5">
                  <c:v>26.996341192250654</c:v>
                </c:pt>
                <c:pt idx="6">
                  <c:v>30.238765262965238</c:v>
                </c:pt>
                <c:pt idx="7">
                  <c:v>40.237571681019844</c:v>
                </c:pt>
                <c:pt idx="8">
                  <c:v>39.068848066542074</c:v>
                </c:pt>
                <c:pt idx="9">
                  <c:v>30.397912157722509</c:v>
                </c:pt>
                <c:pt idx="10">
                  <c:v>29.445520856898426</c:v>
                </c:pt>
                <c:pt idx="11">
                  <c:v>39.16866191157672</c:v>
                </c:pt>
                <c:pt idx="12">
                  <c:v>39.679807728476007</c:v>
                </c:pt>
                <c:pt idx="13">
                  <c:v>39.386891946400297</c:v>
                </c:pt>
                <c:pt idx="14">
                  <c:v>25.994716239097137</c:v>
                </c:pt>
                <c:pt idx="15">
                  <c:v>32.908967212008783</c:v>
                </c:pt>
                <c:pt idx="16">
                  <c:v>32.407258689834379</c:v>
                </c:pt>
                <c:pt idx="17">
                  <c:v>27.224036801053835</c:v>
                </c:pt>
                <c:pt idx="18">
                  <c:v>40.439827415430315</c:v>
                </c:pt>
                <c:pt idx="19">
                  <c:v>25.677414233013728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8-3045-9D2A-DAEFFB782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671375"/>
        <c:axId val="1"/>
      </c:lineChart>
      <c:catAx>
        <c:axId val="119667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196671375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088062943845943"/>
          <c:y val="0.79106939806986254"/>
          <c:w val="0.78511446389061912"/>
          <c:h val="0.14428309776116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Random and Perfectly Stabilized</a:t>
            </a:r>
          </a:p>
          <a:p>
            <a:pPr>
              <a:defRPr sz="975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 Total Revenue</a:t>
            </a:r>
          </a:p>
        </c:rich>
      </c:tx>
      <c:layout>
        <c:manualLayout>
          <c:xMode val="edge"/>
          <c:yMode val="edge"/>
          <c:x val="0.16514319772734351"/>
          <c:y val="3.0001064338296305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9266706401523412"/>
          <c:y val="0.23000815992693832"/>
          <c:w val="0.7523190118690094"/>
          <c:h val="0.45001596507444452"/>
        </c:manualLayout>
      </c:layout>
      <c:lineChart>
        <c:grouping val="standard"/>
        <c:varyColors val="0"/>
        <c:ser>
          <c:idx val="0"/>
          <c:order val="0"/>
          <c:tx>
            <c:v>Random Market Total Revenue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Sheet1!$F$414:$F$433</c:f>
              <c:numCache>
                <c:formatCode>"$"#,##0.00</c:formatCode>
                <c:ptCount val="20"/>
                <c:pt idx="0">
                  <c:v>2363.514838467238</c:v>
                </c:pt>
                <c:pt idx="1">
                  <c:v>1841.3418066159084</c:v>
                </c:pt>
                <c:pt idx="2">
                  <c:v>2269.0226510916305</c:v>
                </c:pt>
                <c:pt idx="3">
                  <c:v>1902.2439252527947</c:v>
                </c:pt>
                <c:pt idx="4">
                  <c:v>2150.1512897414773</c:v>
                </c:pt>
                <c:pt idx="5">
                  <c:v>2321.3565627338289</c:v>
                </c:pt>
                <c:pt idx="6">
                  <c:v>2160.4790147329149</c:v>
                </c:pt>
                <c:pt idx="7">
                  <c:v>1972.870092008003</c:v>
                </c:pt>
                <c:pt idx="8">
                  <c:v>1797.4272020518385</c:v>
                </c:pt>
                <c:pt idx="9">
                  <c:v>2153.8892044333852</c:v>
                </c:pt>
                <c:pt idx="10">
                  <c:v>2193.5268164092818</c:v>
                </c:pt>
                <c:pt idx="11">
                  <c:v>1754.7967345851862</c:v>
                </c:pt>
                <c:pt idx="12">
                  <c:v>1706.2671855756398</c:v>
                </c:pt>
                <c:pt idx="13">
                  <c:v>1627.9395740366888</c:v>
                </c:pt>
                <c:pt idx="14">
                  <c:v>2392.7190092885021</c:v>
                </c:pt>
                <c:pt idx="15">
                  <c:v>2077.1115124027865</c:v>
                </c:pt>
                <c:pt idx="16">
                  <c:v>2088.3597095300515</c:v>
                </c:pt>
                <c:pt idx="17">
                  <c:v>2310.9735952914139</c:v>
                </c:pt>
                <c:pt idx="18">
                  <c:v>1625.642096128598</c:v>
                </c:pt>
                <c:pt idx="19">
                  <c:v>2412.5760450708253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9-4D48-8F25-A144F6D75BD0}"/>
            </c:ext>
          </c:extLst>
        </c:ser>
        <c:ser>
          <c:idx val="1"/>
          <c:order val="1"/>
          <c:tx>
            <c:v>Perfectly Stabilized Total Revenue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D080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Sheet1!$L$414:$L$433</c:f>
              <c:numCache>
                <c:formatCode>"$"#,##0.00</c:formatCode>
                <c:ptCount val="20"/>
                <c:pt idx="0">
                  <c:v>2000</c:v>
                </c:pt>
                <c:pt idx="1">
                  <c:v>2000.0000000000002</c:v>
                </c:pt>
                <c:pt idx="2">
                  <c:v>1999.9999999999998</c:v>
                </c:pt>
                <c:pt idx="3">
                  <c:v>1999.9999999999998</c:v>
                </c:pt>
                <c:pt idx="4">
                  <c:v>2000</c:v>
                </c:pt>
                <c:pt idx="5">
                  <c:v>1999.9999999999995</c:v>
                </c:pt>
                <c:pt idx="6">
                  <c:v>1999.9999999999998</c:v>
                </c:pt>
                <c:pt idx="7">
                  <c:v>1999.9999999999995</c:v>
                </c:pt>
                <c:pt idx="8">
                  <c:v>2000</c:v>
                </c:pt>
                <c:pt idx="9">
                  <c:v>2000</c:v>
                </c:pt>
                <c:pt idx="10">
                  <c:v>1999.9999999999995</c:v>
                </c:pt>
                <c:pt idx="11">
                  <c:v>1999.9999999999995</c:v>
                </c:pt>
                <c:pt idx="12">
                  <c:v>1999.9999999999995</c:v>
                </c:pt>
                <c:pt idx="13">
                  <c:v>1999.9999999999998</c:v>
                </c:pt>
                <c:pt idx="14">
                  <c:v>2000.0000000000002</c:v>
                </c:pt>
                <c:pt idx="15">
                  <c:v>2000</c:v>
                </c:pt>
                <c:pt idx="16">
                  <c:v>2000</c:v>
                </c:pt>
                <c:pt idx="17">
                  <c:v>2000</c:v>
                </c:pt>
                <c:pt idx="18">
                  <c:v>1999.9999999999998</c:v>
                </c:pt>
                <c:pt idx="19">
                  <c:v>1999.9999999999998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9-4D48-8F25-A144F6D75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272783"/>
        <c:axId val="1"/>
      </c:lineChart>
      <c:catAx>
        <c:axId val="119727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197272783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009546515156235"/>
          <c:y val="0.77502749540598781"/>
          <c:w val="0.78443018920488172"/>
          <c:h val="0.145005144301765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Revenue Stabilized Equilibrium Quantity</a:t>
            </a:r>
          </a:p>
        </c:rich>
      </c:tx>
      <c:layout>
        <c:manualLayout>
          <c:xMode val="edge"/>
          <c:yMode val="edge"/>
          <c:x val="0.15517756788791678"/>
          <c:y val="4.0001419117728407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207268791905102"/>
          <c:y val="0.25000886948580253"/>
          <c:w val="0.83623467139599605"/>
          <c:h val="0.40501436856700007"/>
        </c:manualLayout>
      </c:layout>
      <c:lineChart>
        <c:grouping val="standard"/>
        <c:varyColors val="0"/>
        <c:ser>
          <c:idx val="0"/>
          <c:order val="0"/>
          <c:tx>
            <c:v>Random Market Equilibrium Quantity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DD080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Sheet1!$E$414:$E$433</c:f>
              <c:numCache>
                <c:formatCode>0.00</c:formatCode>
                <c:ptCount val="20"/>
                <c:pt idx="0">
                  <c:v>57.168327775707432</c:v>
                </c:pt>
                <c:pt idx="1">
                  <c:v>47.728579522166299</c:v>
                </c:pt>
                <c:pt idx="2">
                  <c:v>54.843139058503866</c:v>
                </c:pt>
                <c:pt idx="3">
                  <c:v>49.205864151060211</c:v>
                </c:pt>
                <c:pt idx="4">
                  <c:v>53.078378971454804</c:v>
                </c:pt>
                <c:pt idx="5">
                  <c:v>56.174573054875268</c:v>
                </c:pt>
                <c:pt idx="6">
                  <c:v>51.504838015213899</c:v>
                </c:pt>
                <c:pt idx="7">
                  <c:v>49.252159178384581</c:v>
                </c:pt>
                <c:pt idx="8">
                  <c:v>47.70818281277937</c:v>
                </c:pt>
                <c:pt idx="9">
                  <c:v>52.790826619811824</c:v>
                </c:pt>
                <c:pt idx="10">
                  <c:v>52.004572091382542</c:v>
                </c:pt>
                <c:pt idx="11">
                  <c:v>46.826222360190386</c:v>
                </c:pt>
                <c:pt idx="12">
                  <c:v>45.322356671199124</c:v>
                </c:pt>
                <c:pt idx="13">
                  <c:v>44.261394580483383</c:v>
                </c:pt>
                <c:pt idx="14">
                  <c:v>56.43296809865015</c:v>
                </c:pt>
                <c:pt idx="15">
                  <c:v>50.819084641222084</c:v>
                </c:pt>
                <c:pt idx="16">
                  <c:v>52.514897610301091</c:v>
                </c:pt>
                <c:pt idx="17">
                  <c:v>53.975005568675712</c:v>
                </c:pt>
                <c:pt idx="18">
                  <c:v>42.95959526372981</c:v>
                </c:pt>
                <c:pt idx="19">
                  <c:v>57.912476868970671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1-4C46-A56A-AC1E7C3DF1F5}"/>
            </c:ext>
          </c:extLst>
        </c:ser>
        <c:ser>
          <c:idx val="1"/>
          <c:order val="1"/>
          <c:tx>
            <c:v>Revenue Stabilized Equilibrium Quantity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339933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Sheet1!$H$414:$H$433</c:f>
              <c:numCache>
                <c:formatCode>0.00</c:formatCode>
                <c:ptCount val="20"/>
                <c:pt idx="0">
                  <c:v>75.916080052105258</c:v>
                </c:pt>
                <c:pt idx="1">
                  <c:v>50.429095024899432</c:v>
                </c:pt>
                <c:pt idx="2">
                  <c:v>71.684087951654732</c:v>
                </c:pt>
                <c:pt idx="3">
                  <c:v>50.862636104270948</c:v>
                </c:pt>
                <c:pt idx="4">
                  <c:v>65.611582374299445</c:v>
                </c:pt>
                <c:pt idx="5">
                  <c:v>74.084113315848256</c:v>
                </c:pt>
                <c:pt idx="6">
                  <c:v>66.140266727407976</c:v>
                </c:pt>
                <c:pt idx="7">
                  <c:v>49.704788744580334</c:v>
                </c:pt>
                <c:pt idx="8">
                  <c:v>51.191680814177047</c:v>
                </c:pt>
                <c:pt idx="9">
                  <c:v>65.793992351277495</c:v>
                </c:pt>
                <c:pt idx="10">
                  <c:v>67.922045248231512</c:v>
                </c:pt>
                <c:pt idx="11">
                  <c:v>51.061228604515541</c:v>
                </c:pt>
                <c:pt idx="12">
                  <c:v>50.403470039112868</c:v>
                </c:pt>
                <c:pt idx="13">
                  <c:v>50.778314844484363</c:v>
                </c:pt>
                <c:pt idx="14">
                  <c:v>76.938712529276117</c:v>
                </c:pt>
                <c:pt idx="15">
                  <c:v>60.773709096230213</c:v>
                </c:pt>
                <c:pt idx="16">
                  <c:v>61.714568922405242</c:v>
                </c:pt>
                <c:pt idx="17">
                  <c:v>73.46449075923158</c:v>
                </c:pt>
                <c:pt idx="18">
                  <c:v>49.45619523679953</c:v>
                </c:pt>
                <c:pt idx="19">
                  <c:v>77.889462772640798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1-4C46-A56A-AC1E7C3DF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917247"/>
        <c:axId val="1"/>
      </c:lineChart>
      <c:catAx>
        <c:axId val="119691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196917247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0520247934618131E-2"/>
          <c:y val="0.80002838235456808"/>
          <c:w val="0.83192418339910945"/>
          <c:h val="0.145005144301765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Pre-Partial Stabilization </a:t>
            </a:r>
          </a:p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Random Total Revenue</a:t>
            </a:r>
          </a:p>
        </c:rich>
      </c:tx>
      <c:layout>
        <c:manualLayout>
          <c:xMode val="edge"/>
          <c:yMode val="edge"/>
          <c:x val="0.34719210741299289"/>
          <c:y val="3.3493982061175986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760051810904868"/>
          <c:y val="0.22967301984806393"/>
          <c:w val="0.81604982511600899"/>
          <c:h val="0.52154914923831186"/>
        </c:manualLayout>
      </c:layout>
      <c:lineChart>
        <c:grouping val="standard"/>
        <c:varyColors val="0"/>
        <c:ser>
          <c:idx val="0"/>
          <c:order val="0"/>
          <c:tx>
            <c:strRef>
              <c:f>Sheet1!$C$552</c:f>
              <c:strCache>
                <c:ptCount val="1"/>
                <c:pt idx="0">
                  <c:v>Upper TR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Sheet1!$B$553:$B$572</c:f>
              <c:numCache>
                <c:formatCode>0.\ 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Sheet1!$C$553:$C$572</c:f>
              <c:numCache>
                <c:formatCode>"$"#,##0.00</c:formatCode>
                <c:ptCount val="20"/>
                <c:pt idx="0">
                  <c:v>2100</c:v>
                </c:pt>
                <c:pt idx="1">
                  <c:v>2100</c:v>
                </c:pt>
                <c:pt idx="2">
                  <c:v>2100</c:v>
                </c:pt>
                <c:pt idx="3">
                  <c:v>2100</c:v>
                </c:pt>
                <c:pt idx="4">
                  <c:v>2100</c:v>
                </c:pt>
                <c:pt idx="5">
                  <c:v>2100</c:v>
                </c:pt>
                <c:pt idx="6">
                  <c:v>2100</c:v>
                </c:pt>
                <c:pt idx="7">
                  <c:v>2100</c:v>
                </c:pt>
                <c:pt idx="8">
                  <c:v>2100</c:v>
                </c:pt>
                <c:pt idx="9">
                  <c:v>2100</c:v>
                </c:pt>
                <c:pt idx="10">
                  <c:v>2100</c:v>
                </c:pt>
                <c:pt idx="11">
                  <c:v>2100</c:v>
                </c:pt>
                <c:pt idx="12">
                  <c:v>2100</c:v>
                </c:pt>
                <c:pt idx="13">
                  <c:v>2100</c:v>
                </c:pt>
                <c:pt idx="14">
                  <c:v>2100</c:v>
                </c:pt>
                <c:pt idx="15">
                  <c:v>2100</c:v>
                </c:pt>
                <c:pt idx="16">
                  <c:v>2100</c:v>
                </c:pt>
                <c:pt idx="17">
                  <c:v>2100</c:v>
                </c:pt>
                <c:pt idx="18">
                  <c:v>2100</c:v>
                </c:pt>
                <c:pt idx="19">
                  <c:v>2100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9-8E4C-8186-662D2AB75898}"/>
            </c:ext>
          </c:extLst>
        </c:ser>
        <c:ser>
          <c:idx val="1"/>
          <c:order val="1"/>
          <c:tx>
            <c:strRef>
              <c:f>Sheet1!$D$552</c:f>
              <c:strCache>
                <c:ptCount val="1"/>
                <c:pt idx="0">
                  <c:v>Lower TR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D080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Sheet1!$B$553:$B$572</c:f>
              <c:numCache>
                <c:formatCode>0.\ 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Sheet1!$D$553:$D$572</c:f>
              <c:numCache>
                <c:formatCode>"$"#,##0.00</c:formatCode>
                <c:ptCount val="20"/>
                <c:pt idx="0">
                  <c:v>1904.7619047619044</c:v>
                </c:pt>
                <c:pt idx="1">
                  <c:v>1904.7619047619044</c:v>
                </c:pt>
                <c:pt idx="2">
                  <c:v>1904.7619047619044</c:v>
                </c:pt>
                <c:pt idx="3">
                  <c:v>1904.7619047619044</c:v>
                </c:pt>
                <c:pt idx="4">
                  <c:v>1904.7619047619044</c:v>
                </c:pt>
                <c:pt idx="5">
                  <c:v>1904.7619047619044</c:v>
                </c:pt>
                <c:pt idx="6">
                  <c:v>1904.7619047619044</c:v>
                </c:pt>
                <c:pt idx="7">
                  <c:v>1904.7619047619044</c:v>
                </c:pt>
                <c:pt idx="8">
                  <c:v>1904.7619047619044</c:v>
                </c:pt>
                <c:pt idx="9">
                  <c:v>1904.7619047619044</c:v>
                </c:pt>
                <c:pt idx="10">
                  <c:v>1904.7619047619044</c:v>
                </c:pt>
                <c:pt idx="11">
                  <c:v>1904.7619047619044</c:v>
                </c:pt>
                <c:pt idx="12">
                  <c:v>1904.7619047619044</c:v>
                </c:pt>
                <c:pt idx="13">
                  <c:v>1904.7619047619044</c:v>
                </c:pt>
                <c:pt idx="14">
                  <c:v>1904.7619047619044</c:v>
                </c:pt>
                <c:pt idx="15">
                  <c:v>1904.7619047619044</c:v>
                </c:pt>
                <c:pt idx="16">
                  <c:v>1904.7619047619044</c:v>
                </c:pt>
                <c:pt idx="17">
                  <c:v>1904.7619047619044</c:v>
                </c:pt>
                <c:pt idx="18">
                  <c:v>1904.7619047619044</c:v>
                </c:pt>
                <c:pt idx="19">
                  <c:v>1904.7619047619044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9-8E4C-8186-662D2AB75898}"/>
            </c:ext>
          </c:extLst>
        </c:ser>
        <c:ser>
          <c:idx val="2"/>
          <c:order val="2"/>
          <c:tx>
            <c:strRef>
              <c:f>Sheet1!$E$552</c:f>
              <c:strCache>
                <c:ptCount val="1"/>
                <c:pt idx="0">
                  <c:v>Random TR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Sheet1!$B$553:$B$572</c:f>
              <c:numCache>
                <c:formatCode>0.\ 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Sheet1!$E$553:$E$572</c:f>
              <c:numCache>
                <c:formatCode>"$"#,##0.00</c:formatCode>
                <c:ptCount val="20"/>
                <c:pt idx="0">
                  <c:v>2363.514838467238</c:v>
                </c:pt>
                <c:pt idx="1">
                  <c:v>1841.3418066159084</c:v>
                </c:pt>
                <c:pt idx="2">
                  <c:v>2269.0226510916305</c:v>
                </c:pt>
                <c:pt idx="3">
                  <c:v>1902.2439252527947</c:v>
                </c:pt>
                <c:pt idx="4">
                  <c:v>2150.1512897414773</c:v>
                </c:pt>
                <c:pt idx="5">
                  <c:v>2321.3565627338289</c:v>
                </c:pt>
                <c:pt idx="6">
                  <c:v>2160.4790147329149</c:v>
                </c:pt>
                <c:pt idx="7">
                  <c:v>1972.870092008003</c:v>
                </c:pt>
                <c:pt idx="8">
                  <c:v>1797.4272020518385</c:v>
                </c:pt>
                <c:pt idx="9">
                  <c:v>2153.8892044333852</c:v>
                </c:pt>
                <c:pt idx="10">
                  <c:v>2193.5268164092818</c:v>
                </c:pt>
                <c:pt idx="11">
                  <c:v>1754.7967345851862</c:v>
                </c:pt>
                <c:pt idx="12">
                  <c:v>1706.2671855756398</c:v>
                </c:pt>
                <c:pt idx="13">
                  <c:v>1627.9395740366888</c:v>
                </c:pt>
                <c:pt idx="14">
                  <c:v>2392.7190092885021</c:v>
                </c:pt>
                <c:pt idx="15">
                  <c:v>2077.1115124027865</c:v>
                </c:pt>
                <c:pt idx="16">
                  <c:v>2088.3597095300515</c:v>
                </c:pt>
                <c:pt idx="17">
                  <c:v>2310.9735952914139</c:v>
                </c:pt>
                <c:pt idx="18">
                  <c:v>1625.642096128598</c:v>
                </c:pt>
                <c:pt idx="19">
                  <c:v>2412.5760450708253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09-8E4C-8186-662D2AB75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939264"/>
        <c:axId val="1"/>
      </c:lineChart>
      <c:catAx>
        <c:axId val="2094939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At val="180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50"/>
          <c:min val="1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2094939264"/>
        <c:crosses val="autoZero"/>
        <c:crossBetween val="midCat"/>
        <c:majorUnit val="100"/>
        <c:minorUnit val="1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077217736658932"/>
          <c:y val="0.85648896985007172"/>
          <c:w val="0.61723041317865412"/>
          <c:h val="7.65576732826879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Partial Stabilization of Total Revenue</a:t>
            </a:r>
          </a:p>
        </c:rich>
      </c:tx>
      <c:layout>
        <c:manualLayout>
          <c:xMode val="edge"/>
          <c:yMode val="edge"/>
          <c:x val="0.22419625815022026"/>
          <c:y val="3.8648596529198456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389793213564804"/>
          <c:y val="0.20290513177829189"/>
          <c:w val="0.82008631270738463"/>
          <c:h val="0.60871539533487573"/>
        </c:manualLayout>
      </c:layout>
      <c:lineChart>
        <c:grouping val="standard"/>
        <c:varyColors val="0"/>
        <c:ser>
          <c:idx val="0"/>
          <c:order val="0"/>
          <c:tx>
            <c:strRef>
              <c:f>Sheet1!$C$552</c:f>
              <c:strCache>
                <c:ptCount val="1"/>
                <c:pt idx="0">
                  <c:v>Upper TR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Sheet1!$B$553:$B$572</c:f>
              <c:numCache>
                <c:formatCode>0.\ 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Sheet1!$C$553:$C$572</c:f>
              <c:numCache>
                <c:formatCode>"$"#,##0.00</c:formatCode>
                <c:ptCount val="20"/>
                <c:pt idx="0">
                  <c:v>2100</c:v>
                </c:pt>
                <c:pt idx="1">
                  <c:v>2100</c:v>
                </c:pt>
                <c:pt idx="2">
                  <c:v>2100</c:v>
                </c:pt>
                <c:pt idx="3">
                  <c:v>2100</c:v>
                </c:pt>
                <c:pt idx="4">
                  <c:v>2100</c:v>
                </c:pt>
                <c:pt idx="5">
                  <c:v>2100</c:v>
                </c:pt>
                <c:pt idx="6">
                  <c:v>2100</c:v>
                </c:pt>
                <c:pt idx="7">
                  <c:v>2100</c:v>
                </c:pt>
                <c:pt idx="8">
                  <c:v>2100</c:v>
                </c:pt>
                <c:pt idx="9">
                  <c:v>2100</c:v>
                </c:pt>
                <c:pt idx="10">
                  <c:v>2100</c:v>
                </c:pt>
                <c:pt idx="11">
                  <c:v>2100</c:v>
                </c:pt>
                <c:pt idx="12">
                  <c:v>2100</c:v>
                </c:pt>
                <c:pt idx="13">
                  <c:v>2100</c:v>
                </c:pt>
                <c:pt idx="14">
                  <c:v>2100</c:v>
                </c:pt>
                <c:pt idx="15">
                  <c:v>2100</c:v>
                </c:pt>
                <c:pt idx="16">
                  <c:v>2100</c:v>
                </c:pt>
                <c:pt idx="17">
                  <c:v>2100</c:v>
                </c:pt>
                <c:pt idx="18">
                  <c:v>2100</c:v>
                </c:pt>
                <c:pt idx="19">
                  <c:v>2100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F-1B47-AE89-7856BFB79125}"/>
            </c:ext>
          </c:extLst>
        </c:ser>
        <c:ser>
          <c:idx val="1"/>
          <c:order val="1"/>
          <c:tx>
            <c:strRef>
              <c:f>Sheet1!$D$552</c:f>
              <c:strCache>
                <c:ptCount val="1"/>
                <c:pt idx="0">
                  <c:v>Lower TR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D080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Sheet1!$B$553:$B$572</c:f>
              <c:numCache>
                <c:formatCode>0.\ 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Sheet1!$D$553:$D$572</c:f>
              <c:numCache>
                <c:formatCode>"$"#,##0.00</c:formatCode>
                <c:ptCount val="20"/>
                <c:pt idx="0">
                  <c:v>1904.7619047619044</c:v>
                </c:pt>
                <c:pt idx="1">
                  <c:v>1904.7619047619044</c:v>
                </c:pt>
                <c:pt idx="2">
                  <c:v>1904.7619047619044</c:v>
                </c:pt>
                <c:pt idx="3">
                  <c:v>1904.7619047619044</c:v>
                </c:pt>
                <c:pt idx="4">
                  <c:v>1904.7619047619044</c:v>
                </c:pt>
                <c:pt idx="5">
                  <c:v>1904.7619047619044</c:v>
                </c:pt>
                <c:pt idx="6">
                  <c:v>1904.7619047619044</c:v>
                </c:pt>
                <c:pt idx="7">
                  <c:v>1904.7619047619044</c:v>
                </c:pt>
                <c:pt idx="8">
                  <c:v>1904.7619047619044</c:v>
                </c:pt>
                <c:pt idx="9">
                  <c:v>1904.7619047619044</c:v>
                </c:pt>
                <c:pt idx="10">
                  <c:v>1904.7619047619044</c:v>
                </c:pt>
                <c:pt idx="11">
                  <c:v>1904.7619047619044</c:v>
                </c:pt>
                <c:pt idx="12">
                  <c:v>1904.7619047619044</c:v>
                </c:pt>
                <c:pt idx="13">
                  <c:v>1904.7619047619044</c:v>
                </c:pt>
                <c:pt idx="14">
                  <c:v>1904.7619047619044</c:v>
                </c:pt>
                <c:pt idx="15">
                  <c:v>1904.7619047619044</c:v>
                </c:pt>
                <c:pt idx="16">
                  <c:v>1904.7619047619044</c:v>
                </c:pt>
                <c:pt idx="17">
                  <c:v>1904.7619047619044</c:v>
                </c:pt>
                <c:pt idx="18">
                  <c:v>1904.7619047619044</c:v>
                </c:pt>
                <c:pt idx="19">
                  <c:v>1904.7619047619044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F-1B47-AE89-7856BFB79125}"/>
            </c:ext>
          </c:extLst>
        </c:ser>
        <c:ser>
          <c:idx val="3"/>
          <c:order val="2"/>
          <c:tx>
            <c:strRef>
              <c:f>Sheet1!$F$552</c:f>
              <c:strCache>
                <c:ptCount val="1"/>
                <c:pt idx="0">
                  <c:v>Partial Stabilized TR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Sheet1!$B$553:$B$572</c:f>
              <c:numCache>
                <c:formatCode>0.\ 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Sheet1!$F$553:$F$572</c:f>
              <c:numCache>
                <c:formatCode>"$"#,##0.00</c:formatCode>
                <c:ptCount val="20"/>
                <c:pt idx="0">
                  <c:v>2100</c:v>
                </c:pt>
                <c:pt idx="1">
                  <c:v>1904.7619047619044</c:v>
                </c:pt>
                <c:pt idx="2">
                  <c:v>2100</c:v>
                </c:pt>
                <c:pt idx="3">
                  <c:v>1904.7619047619046</c:v>
                </c:pt>
                <c:pt idx="4">
                  <c:v>2100</c:v>
                </c:pt>
                <c:pt idx="5">
                  <c:v>2100</c:v>
                </c:pt>
                <c:pt idx="6">
                  <c:v>2099.9999999999995</c:v>
                </c:pt>
                <c:pt idx="7">
                  <c:v>1972.870092008003</c:v>
                </c:pt>
                <c:pt idx="8">
                  <c:v>1904.7619047619041</c:v>
                </c:pt>
                <c:pt idx="9">
                  <c:v>2100</c:v>
                </c:pt>
                <c:pt idx="10">
                  <c:v>2100</c:v>
                </c:pt>
                <c:pt idx="11">
                  <c:v>1904.7619047619048</c:v>
                </c:pt>
                <c:pt idx="12">
                  <c:v>1904.7619047619044</c:v>
                </c:pt>
                <c:pt idx="13">
                  <c:v>1904.7619047619044</c:v>
                </c:pt>
                <c:pt idx="14">
                  <c:v>2100.0000000000005</c:v>
                </c:pt>
                <c:pt idx="15">
                  <c:v>2077.1115124027865</c:v>
                </c:pt>
                <c:pt idx="16">
                  <c:v>2088.3597095300515</c:v>
                </c:pt>
                <c:pt idx="17">
                  <c:v>2100</c:v>
                </c:pt>
                <c:pt idx="18">
                  <c:v>1904.7619047619048</c:v>
                </c:pt>
                <c:pt idx="19">
                  <c:v>2099.9999999999995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7F-1B47-AE89-7856BFB79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985888"/>
        <c:axId val="1"/>
      </c:lineChart>
      <c:catAx>
        <c:axId val="2094985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2094985888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634739055212729"/>
          <c:y val="0.8695934219069652"/>
          <c:w val="0.71978798669281241"/>
          <c:h val="7.72971930583969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Buffer Stock Adjustments</a:t>
            </a:r>
          </a:p>
        </c:rich>
      </c:tx>
      <c:layout>
        <c:manualLayout>
          <c:xMode val="edge"/>
          <c:yMode val="edge"/>
          <c:x val="0.28000943917035964"/>
          <c:y val="4.2329484488872089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6156750513956812E-2"/>
          <c:y val="0.22222979356657846"/>
          <c:w val="0.87387561235584765"/>
          <c:h val="0.5449921127942281"/>
        </c:manualLayout>
      </c:layout>
      <c:lineChart>
        <c:grouping val="standard"/>
        <c:varyColors val="0"/>
        <c:ser>
          <c:idx val="0"/>
          <c:order val="0"/>
          <c:tx>
            <c:v>Sale(&lt;0) or Purchase (&gt;0)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1FB71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Sheet1!$L$64:$L$83</c:f>
              <c:numCache>
                <c:formatCode>0.00</c:formatCode>
                <c:ptCount val="20"/>
                <c:pt idx="0">
                  <c:v>-5.0365558885278006</c:v>
                </c:pt>
                <c:pt idx="1">
                  <c:v>5.3271049769500678</c:v>
                </c:pt>
                <c:pt idx="2">
                  <c:v>-5.1485762424506873</c:v>
                </c:pt>
                <c:pt idx="3">
                  <c:v>5.0291750227441057</c:v>
                </c:pt>
                <c:pt idx="4">
                  <c:v>-1.9086960222881331</c:v>
                </c:pt>
                <c:pt idx="5">
                  <c:v>-4.9649002538588931</c:v>
                </c:pt>
                <c:pt idx="6">
                  <c:v>-7.3016558727018719</c:v>
                </c:pt>
                <c:pt idx="7">
                  <c:v>-0.21194945453081004</c:v>
                </c:pt>
                <c:pt idx="8">
                  <c:v>8.7170667525637313</c:v>
                </c:pt>
                <c:pt idx="9">
                  <c:v>-3.001667785856398</c:v>
                </c:pt>
                <c:pt idx="10">
                  <c:v>-8.1731226839159987</c:v>
                </c:pt>
                <c:pt idx="11">
                  <c:v>9.4700271980750088</c:v>
                </c:pt>
                <c:pt idx="12">
                  <c:v>8.8223910700855726</c:v>
                </c:pt>
                <c:pt idx="13">
                  <c:v>12.074535597000349</c:v>
                </c:pt>
                <c:pt idx="14">
                  <c:v>-8.997419188492124</c:v>
                </c:pt>
                <c:pt idx="15">
                  <c:v>-3.2725004100573116</c:v>
                </c:pt>
                <c:pt idx="16">
                  <c:v>0.87376597680864165</c:v>
                </c:pt>
                <c:pt idx="17">
                  <c:v>-10.558593575619476</c:v>
                </c:pt>
                <c:pt idx="18">
                  <c:v>8.0955471517408881</c:v>
                </c:pt>
                <c:pt idx="19">
                  <c:v>-6.2212610848118644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2-8044-9878-F492C5DD1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400783"/>
        <c:axId val="1"/>
      </c:lineChart>
      <c:catAx>
        <c:axId val="1342400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342400783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462565360291877"/>
          <c:y val="0.82013376197189669"/>
          <c:w val="0.41539861854943466"/>
          <c:h val="8.99501545388531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Random Equilibrium Quantity</a:t>
            </a:r>
          </a:p>
        </c:rich>
      </c:tx>
      <c:layout>
        <c:manualLayout>
          <c:xMode val="edge"/>
          <c:yMode val="edge"/>
          <c:x val="0.15596857563138"/>
          <c:y val="4.1668002610426538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927008724752587"/>
          <c:y val="0.20834001305213268"/>
          <c:w val="0.83489061073268112"/>
          <c:h val="0.46430060051618144"/>
        </c:manualLayout>
      </c:layout>
      <c:lineChart>
        <c:grouping val="standard"/>
        <c:varyColors val="0"/>
        <c:ser>
          <c:idx val="0"/>
          <c:order val="0"/>
          <c:tx>
            <c:v>Random Equilibrium Quantity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Sheet1!$G$64:$G$83</c:f>
              <c:numCache>
                <c:formatCode>0.00</c:formatCode>
                <c:ptCount val="20"/>
                <c:pt idx="0">
                  <c:v>57.168327775707432</c:v>
                </c:pt>
                <c:pt idx="1">
                  <c:v>47.728579522166299</c:v>
                </c:pt>
                <c:pt idx="2">
                  <c:v>54.843139058503866</c:v>
                </c:pt>
                <c:pt idx="3">
                  <c:v>49.205864151060211</c:v>
                </c:pt>
                <c:pt idx="4">
                  <c:v>53.078378971454804</c:v>
                </c:pt>
                <c:pt idx="5">
                  <c:v>56.174573054875268</c:v>
                </c:pt>
                <c:pt idx="6">
                  <c:v>51.504838015213899</c:v>
                </c:pt>
                <c:pt idx="7">
                  <c:v>49.252159178384581</c:v>
                </c:pt>
                <c:pt idx="8">
                  <c:v>47.70818281277937</c:v>
                </c:pt>
                <c:pt idx="9">
                  <c:v>52.790826619811824</c:v>
                </c:pt>
                <c:pt idx="10">
                  <c:v>52.004572091382542</c:v>
                </c:pt>
                <c:pt idx="11">
                  <c:v>46.826222360190386</c:v>
                </c:pt>
                <c:pt idx="12">
                  <c:v>45.322356671199124</c:v>
                </c:pt>
                <c:pt idx="13">
                  <c:v>44.261394580483383</c:v>
                </c:pt>
                <c:pt idx="14">
                  <c:v>56.43296809865015</c:v>
                </c:pt>
                <c:pt idx="15">
                  <c:v>50.819084641222084</c:v>
                </c:pt>
                <c:pt idx="16">
                  <c:v>52.514897610301091</c:v>
                </c:pt>
                <c:pt idx="17">
                  <c:v>53.975005568675712</c:v>
                </c:pt>
                <c:pt idx="18">
                  <c:v>42.95959526372981</c:v>
                </c:pt>
                <c:pt idx="19">
                  <c:v>57.912476868970671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0-E94F-B2ED-B8F90E5F8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834255"/>
        <c:axId val="1"/>
      </c:lineChart>
      <c:catAx>
        <c:axId val="119683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196834255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761933143945293"/>
          <c:y val="0.83336005220853071"/>
          <c:w val="0.68350934614928294"/>
          <c:h val="9.524114882383208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Random Equilibrium Price</a:t>
            </a:r>
          </a:p>
        </c:rich>
      </c:tx>
      <c:layout>
        <c:manualLayout>
          <c:xMode val="edge"/>
          <c:yMode val="edge"/>
          <c:x val="0.20779890619360342"/>
          <c:y val="4.1917454543859672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554517249196873"/>
          <c:y val="0.27545755843107789"/>
          <c:w val="0.8225373370163469"/>
          <c:h val="0.41318633764661677"/>
        </c:manualLayout>
      </c:layout>
      <c:lineChart>
        <c:grouping val="standard"/>
        <c:varyColors val="0"/>
        <c:ser>
          <c:idx val="0"/>
          <c:order val="0"/>
          <c:tx>
            <c:v>Random Equilibrium Price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DD080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Sheet1!$H$64:$H$83</c:f>
              <c:numCache>
                <c:formatCode>"$"#,##0.00</c:formatCode>
                <c:ptCount val="20"/>
                <c:pt idx="0">
                  <c:v>41.34308157027408</c:v>
                </c:pt>
                <c:pt idx="1">
                  <c:v>38.579438672813318</c:v>
                </c:pt>
                <c:pt idx="2">
                  <c:v>41.372953664653522</c:v>
                </c:pt>
                <c:pt idx="3">
                  <c:v>38.658886660601574</c:v>
                </c:pt>
                <c:pt idx="4">
                  <c:v>40.508985605943508</c:v>
                </c:pt>
                <c:pt idx="5">
                  <c:v>41.32397340102905</c:v>
                </c:pt>
                <c:pt idx="6">
                  <c:v>41.947108232720502</c:v>
                </c:pt>
                <c:pt idx="7">
                  <c:v>40.056519854541556</c:v>
                </c:pt>
                <c:pt idx="8">
                  <c:v>37.675448865983007</c:v>
                </c:pt>
                <c:pt idx="9">
                  <c:v>40.800444742895046</c:v>
                </c:pt>
                <c:pt idx="10">
                  <c:v>42.179499382377607</c:v>
                </c:pt>
                <c:pt idx="11">
                  <c:v>37.474659413846673</c:v>
                </c:pt>
                <c:pt idx="12">
                  <c:v>37.647362381310522</c:v>
                </c:pt>
                <c:pt idx="13">
                  <c:v>36.780123840799909</c:v>
                </c:pt>
                <c:pt idx="14">
                  <c:v>42.399311783597909</c:v>
                </c:pt>
                <c:pt idx="15">
                  <c:v>40.872666776015286</c:v>
                </c:pt>
                <c:pt idx="16">
                  <c:v>39.766995739517697</c:v>
                </c:pt>
                <c:pt idx="17">
                  <c:v>42.815624953498528</c:v>
                </c:pt>
                <c:pt idx="18">
                  <c:v>37.841187426202431</c:v>
                </c:pt>
                <c:pt idx="19">
                  <c:v>41.65900295594983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01-5C4E-B576-D510A9DE0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677183"/>
        <c:axId val="1"/>
      </c:lineChart>
      <c:catAx>
        <c:axId val="119667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196677183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048233067746981"/>
          <c:y val="0.8443372986691734"/>
          <c:w val="0.5844344236695096"/>
          <c:h val="9.58113246716792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Random Total Revenue</a:t>
            </a:r>
          </a:p>
        </c:rich>
      </c:tx>
      <c:layout>
        <c:manualLayout>
          <c:xMode val="edge"/>
          <c:yMode val="edge"/>
          <c:x val="0.30544869110054612"/>
          <c:y val="3.5715430808937035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7573760309894434"/>
          <c:y val="0.17857715404468516"/>
          <c:w val="0.77408229936439765"/>
          <c:h val="0.48811088772213945"/>
        </c:manualLayout>
      </c:layout>
      <c:lineChart>
        <c:grouping val="standard"/>
        <c:varyColors val="0"/>
        <c:ser>
          <c:idx val="0"/>
          <c:order val="0"/>
          <c:tx>
            <c:v>Random Total Revenue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1FB71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Sheet1!$I$64:$I$83</c:f>
              <c:numCache>
                <c:formatCode>"$"#,##0.00</c:formatCode>
                <c:ptCount val="20"/>
                <c:pt idx="0">
                  <c:v>2363.514838467238</c:v>
                </c:pt>
                <c:pt idx="1">
                  <c:v>1841.3418066159084</c:v>
                </c:pt>
                <c:pt idx="2">
                  <c:v>2269.0226510916305</c:v>
                </c:pt>
                <c:pt idx="3">
                  <c:v>1902.2439252527947</c:v>
                </c:pt>
                <c:pt idx="4">
                  <c:v>2150.1512897414773</c:v>
                </c:pt>
                <c:pt idx="5">
                  <c:v>2321.3565627338289</c:v>
                </c:pt>
                <c:pt idx="6">
                  <c:v>2160.4790147329149</c:v>
                </c:pt>
                <c:pt idx="7">
                  <c:v>1972.870092008003</c:v>
                </c:pt>
                <c:pt idx="8">
                  <c:v>1797.4272020518385</c:v>
                </c:pt>
                <c:pt idx="9">
                  <c:v>2153.8892044333852</c:v>
                </c:pt>
                <c:pt idx="10">
                  <c:v>2193.5268164092818</c:v>
                </c:pt>
                <c:pt idx="11">
                  <c:v>1754.7967345851862</c:v>
                </c:pt>
                <c:pt idx="12">
                  <c:v>1706.2671855756398</c:v>
                </c:pt>
                <c:pt idx="13">
                  <c:v>1627.9395740366888</c:v>
                </c:pt>
                <c:pt idx="14">
                  <c:v>2392.7190092885021</c:v>
                </c:pt>
                <c:pt idx="15">
                  <c:v>2077.1115124027865</c:v>
                </c:pt>
                <c:pt idx="16">
                  <c:v>2088.3597095300515</c:v>
                </c:pt>
                <c:pt idx="17">
                  <c:v>2310.9735952914139</c:v>
                </c:pt>
                <c:pt idx="18">
                  <c:v>1625.642096128598</c:v>
                </c:pt>
                <c:pt idx="19">
                  <c:v>2412.5760450708253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2-9041-A635-EE2C2FF35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076207"/>
        <c:axId val="1"/>
      </c:lineChart>
      <c:catAx>
        <c:axId val="119707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197076207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942217600320355"/>
          <c:y val="0.79764462139959369"/>
          <c:w val="0.52721280929683301"/>
          <c:h val="9.524114882383208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Price Stabilized Equilibrium Quantity</a:t>
            </a:r>
          </a:p>
        </c:rich>
      </c:tx>
      <c:layout>
        <c:manualLayout>
          <c:xMode val="edge"/>
          <c:yMode val="edge"/>
          <c:x val="0.1939459494152195"/>
          <c:y val="4.3479735599340368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1820947409545736E-2"/>
          <c:y val="0.26087841359604219"/>
          <c:w val="0.88487839420693903"/>
          <c:h val="0.43479735599340369"/>
        </c:manualLayout>
      </c:layout>
      <c:lineChart>
        <c:grouping val="standard"/>
        <c:varyColors val="0"/>
        <c:ser>
          <c:idx val="0"/>
          <c:order val="0"/>
          <c:tx>
            <c:v>Price Stabilized Equilibrium Quantity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Sheet1!$J$127:$J$146</c:f>
              <c:numCache>
                <c:formatCode>0.00</c:formatCode>
                <c:ptCount val="20"/>
                <c:pt idx="0">
                  <c:v>58.847179738550032</c:v>
                </c:pt>
                <c:pt idx="1">
                  <c:v>51.279982840133009</c:v>
                </c:pt>
                <c:pt idx="2">
                  <c:v>56.559331139320754</c:v>
                </c:pt>
                <c:pt idx="3">
                  <c:v>52.55864749955628</c:v>
                </c:pt>
                <c:pt idx="4">
                  <c:v>53.714610978884181</c:v>
                </c:pt>
                <c:pt idx="5">
                  <c:v>57.829539806161577</c:v>
                </c:pt>
                <c:pt idx="6">
                  <c:v>53.938723306114525</c:v>
                </c:pt>
                <c:pt idx="7">
                  <c:v>49.32280899656152</c:v>
                </c:pt>
                <c:pt idx="8">
                  <c:v>53.519560647821855</c:v>
                </c:pt>
                <c:pt idx="9">
                  <c:v>53.791382548430626</c:v>
                </c:pt>
                <c:pt idx="10">
                  <c:v>54.728946319354549</c:v>
                </c:pt>
                <c:pt idx="11">
                  <c:v>53.13957382557372</c:v>
                </c:pt>
                <c:pt idx="12">
                  <c:v>51.203950717922837</c:v>
                </c:pt>
                <c:pt idx="13">
                  <c:v>52.311084978483613</c:v>
                </c:pt>
                <c:pt idx="14">
                  <c:v>59.432107828147537</c:v>
                </c:pt>
                <c:pt idx="15">
                  <c:v>51.909918111241183</c:v>
                </c:pt>
                <c:pt idx="16">
                  <c:v>53.097408261506864</c:v>
                </c:pt>
                <c:pt idx="17">
                  <c:v>57.494536760548868</c:v>
                </c:pt>
                <c:pt idx="18">
                  <c:v>48.356626698223735</c:v>
                </c:pt>
                <c:pt idx="19">
                  <c:v>59.986230563907945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9E-9041-BCA9-8DDE88DAB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546495"/>
        <c:axId val="1"/>
      </c:lineChart>
      <c:catAx>
        <c:axId val="13425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342546495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212838217289634"/>
          <c:y val="0.83154994333738452"/>
          <c:w val="0.54547298273030487"/>
          <c:h val="8.69594711986807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Price Path Under Partial Price Stabilization</a:t>
            </a:r>
          </a:p>
        </c:rich>
      </c:tx>
      <c:layout>
        <c:manualLayout>
          <c:xMode val="edge"/>
          <c:yMode val="edge"/>
          <c:x val="0.17560073257195347"/>
          <c:y val="3.4884932020030401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226479169034843E-2"/>
          <c:y val="0.17442466010015201"/>
          <c:w val="0.87502737925685281"/>
          <c:h val="0.60079605145607906"/>
        </c:manualLayout>
      </c:layout>
      <c:lineChart>
        <c:grouping val="standard"/>
        <c:varyColors val="0"/>
        <c:ser>
          <c:idx val="0"/>
          <c:order val="0"/>
          <c:tx>
            <c:v>Upper Price Limit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Sheet1!$F$283:$F$302</c:f>
              <c:numCache>
                <c:formatCode>0.\ 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Sheet1!$G$283:$G$302</c:f>
              <c:numCache>
                <c:formatCode>"$"#,##0.00</c:formatCode>
                <c:ptCount val="20"/>
                <c:pt idx="0">
                  <c:v>42</c:v>
                </c:pt>
                <c:pt idx="1">
                  <c:v>42</c:v>
                </c:pt>
                <c:pt idx="2">
                  <c:v>42</c:v>
                </c:pt>
                <c:pt idx="3">
                  <c:v>42</c:v>
                </c:pt>
                <c:pt idx="4">
                  <c:v>42</c:v>
                </c:pt>
                <c:pt idx="5">
                  <c:v>42</c:v>
                </c:pt>
                <c:pt idx="6">
                  <c:v>42</c:v>
                </c:pt>
                <c:pt idx="7">
                  <c:v>42</c:v>
                </c:pt>
                <c:pt idx="8">
                  <c:v>42</c:v>
                </c:pt>
                <c:pt idx="9">
                  <c:v>42</c:v>
                </c:pt>
                <c:pt idx="10">
                  <c:v>42</c:v>
                </c:pt>
                <c:pt idx="11">
                  <c:v>42</c:v>
                </c:pt>
                <c:pt idx="12">
                  <c:v>42</c:v>
                </c:pt>
                <c:pt idx="13">
                  <c:v>42</c:v>
                </c:pt>
                <c:pt idx="14">
                  <c:v>42</c:v>
                </c:pt>
                <c:pt idx="15">
                  <c:v>42</c:v>
                </c:pt>
                <c:pt idx="16">
                  <c:v>42</c:v>
                </c:pt>
                <c:pt idx="17">
                  <c:v>42</c:v>
                </c:pt>
                <c:pt idx="18">
                  <c:v>42</c:v>
                </c:pt>
                <c:pt idx="19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B-6A43-B5E7-2205C4D68EBE}"/>
            </c:ext>
          </c:extLst>
        </c:ser>
        <c:ser>
          <c:idx val="1"/>
          <c:order val="1"/>
          <c:tx>
            <c:v>Lower Price Limit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D080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Sheet1!$F$283:$F$302</c:f>
              <c:numCache>
                <c:formatCode>0.\ 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Sheet1!$H$283:$H$302</c:f>
              <c:numCache>
                <c:formatCode>"$"#,##0.00</c:formatCode>
                <c:ptCount val="20"/>
                <c:pt idx="0">
                  <c:v>38.095238095238095</c:v>
                </c:pt>
                <c:pt idx="1">
                  <c:v>38.095238095238095</c:v>
                </c:pt>
                <c:pt idx="2">
                  <c:v>38.095238095238095</c:v>
                </c:pt>
                <c:pt idx="3">
                  <c:v>38.095238095238095</c:v>
                </c:pt>
                <c:pt idx="4">
                  <c:v>38.095238095238095</c:v>
                </c:pt>
                <c:pt idx="5">
                  <c:v>38.095238095238095</c:v>
                </c:pt>
                <c:pt idx="6">
                  <c:v>38.095238095238095</c:v>
                </c:pt>
                <c:pt idx="7">
                  <c:v>38.095238095238095</c:v>
                </c:pt>
                <c:pt idx="8">
                  <c:v>38.095238095238095</c:v>
                </c:pt>
                <c:pt idx="9">
                  <c:v>38.095238095238095</c:v>
                </c:pt>
                <c:pt idx="10">
                  <c:v>38.095238095238095</c:v>
                </c:pt>
                <c:pt idx="11">
                  <c:v>38.095238095238095</c:v>
                </c:pt>
                <c:pt idx="12">
                  <c:v>38.095238095238095</c:v>
                </c:pt>
                <c:pt idx="13">
                  <c:v>38.095238095238095</c:v>
                </c:pt>
                <c:pt idx="14">
                  <c:v>38.095238095238095</c:v>
                </c:pt>
                <c:pt idx="15">
                  <c:v>38.095238095238095</c:v>
                </c:pt>
                <c:pt idx="16">
                  <c:v>38.095238095238095</c:v>
                </c:pt>
                <c:pt idx="17">
                  <c:v>38.095238095238095</c:v>
                </c:pt>
                <c:pt idx="18">
                  <c:v>38.095238095238095</c:v>
                </c:pt>
                <c:pt idx="19">
                  <c:v>38.095238095238095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B-6A43-B5E7-2205C4D68EBE}"/>
            </c:ext>
          </c:extLst>
        </c:ser>
        <c:ser>
          <c:idx val="2"/>
          <c:order val="2"/>
          <c:tx>
            <c:v>Partially Stabilized Price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Sheet1!$F$283:$F$302</c:f>
              <c:numCache>
                <c:formatCode>0.\ 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Sheet1!$J$283:$J$302</c:f>
              <c:numCache>
                <c:formatCode>"$"#,##0.00</c:formatCode>
                <c:ptCount val="20"/>
                <c:pt idx="0">
                  <c:v>41.34308157027408</c:v>
                </c:pt>
                <c:pt idx="1">
                  <c:v>38.579438672813318</c:v>
                </c:pt>
                <c:pt idx="2">
                  <c:v>41.372953664653522</c:v>
                </c:pt>
                <c:pt idx="3">
                  <c:v>38.658886660601574</c:v>
                </c:pt>
                <c:pt idx="4">
                  <c:v>40.508985605943508</c:v>
                </c:pt>
                <c:pt idx="5">
                  <c:v>41.32397340102905</c:v>
                </c:pt>
                <c:pt idx="6">
                  <c:v>41.947108232720502</c:v>
                </c:pt>
                <c:pt idx="7">
                  <c:v>40.056519854541556</c:v>
                </c:pt>
                <c:pt idx="8">
                  <c:v>38.095238095238095</c:v>
                </c:pt>
                <c:pt idx="9">
                  <c:v>40.800444742895046</c:v>
                </c:pt>
                <c:pt idx="10">
                  <c:v>42</c:v>
                </c:pt>
                <c:pt idx="11">
                  <c:v>38.095238095238095</c:v>
                </c:pt>
                <c:pt idx="12">
                  <c:v>38.095238095238095</c:v>
                </c:pt>
                <c:pt idx="13">
                  <c:v>38.095238095238095</c:v>
                </c:pt>
                <c:pt idx="14">
                  <c:v>42</c:v>
                </c:pt>
                <c:pt idx="15">
                  <c:v>40.872666776015286</c:v>
                </c:pt>
                <c:pt idx="16">
                  <c:v>39.766995739517697</c:v>
                </c:pt>
                <c:pt idx="17">
                  <c:v>42</c:v>
                </c:pt>
                <c:pt idx="18">
                  <c:v>38.095238095238095</c:v>
                </c:pt>
                <c:pt idx="19">
                  <c:v>41.65900295594983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5B-6A43-B5E7-2205C4D68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413871"/>
        <c:axId val="1"/>
      </c:lineChart>
      <c:catAx>
        <c:axId val="119741387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197413871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250195566120377E-2"/>
          <c:y val="0.87212330050075992"/>
          <c:w val="0.84824082683062263"/>
          <c:h val="8.91503818289665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Perfect Price Stabilzation Total Revenue</a:t>
            </a:r>
          </a:p>
        </c:rich>
      </c:tx>
      <c:layout>
        <c:manualLayout>
          <c:xMode val="edge"/>
          <c:yMode val="edge"/>
          <c:x val="0.24689085362888302"/>
          <c:y val="4.0001395137944262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23542127315121"/>
          <c:y val="0.1714345505911897"/>
          <c:w val="0.86536491120426673"/>
          <c:h val="0.60002092706916399"/>
        </c:manualLayout>
      </c:layout>
      <c:lineChart>
        <c:grouping val="standard"/>
        <c:varyColors val="0"/>
        <c:ser>
          <c:idx val="0"/>
          <c:order val="0"/>
          <c:tx>
            <c:v>Price Stabilized Total Revenue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1FB71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Sheet1!$L$127:$L$146</c:f>
              <c:numCache>
                <c:formatCode>"$"#,##0.00</c:formatCode>
                <c:ptCount val="20"/>
                <c:pt idx="0">
                  <c:v>2353.8871895420011</c:v>
                </c:pt>
                <c:pt idx="1">
                  <c:v>2051.1993136053202</c:v>
                </c:pt>
                <c:pt idx="2">
                  <c:v>2262.3732455728309</c:v>
                </c:pt>
                <c:pt idx="3">
                  <c:v>2102.3458999822515</c:v>
                </c:pt>
                <c:pt idx="4">
                  <c:v>2148.5844391553678</c:v>
                </c:pt>
                <c:pt idx="5">
                  <c:v>2313.181592246463</c:v>
                </c:pt>
                <c:pt idx="6">
                  <c:v>2157.548932244581</c:v>
                </c:pt>
                <c:pt idx="7">
                  <c:v>1972.9123598624608</c:v>
                </c:pt>
                <c:pt idx="8">
                  <c:v>2140.7824259128743</c:v>
                </c:pt>
                <c:pt idx="9">
                  <c:v>2151.655301937225</c:v>
                </c:pt>
                <c:pt idx="10">
                  <c:v>2189.1578527741822</c:v>
                </c:pt>
                <c:pt idx="11">
                  <c:v>2125.5829530229489</c:v>
                </c:pt>
                <c:pt idx="12">
                  <c:v>2048.1580287169136</c:v>
                </c:pt>
                <c:pt idx="13">
                  <c:v>2092.4433991393448</c:v>
                </c:pt>
                <c:pt idx="14">
                  <c:v>2377.2843131259015</c:v>
                </c:pt>
                <c:pt idx="15">
                  <c:v>2076.3967244496475</c:v>
                </c:pt>
                <c:pt idx="16">
                  <c:v>2123.8963304602744</c:v>
                </c:pt>
                <c:pt idx="17">
                  <c:v>2299.7814704219545</c:v>
                </c:pt>
                <c:pt idx="18">
                  <c:v>1934.2650679289497</c:v>
                </c:pt>
                <c:pt idx="19">
                  <c:v>2399.4492225563185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D-0645-9994-59E612944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765263"/>
        <c:axId val="1"/>
      </c:lineChart>
      <c:catAx>
        <c:axId val="1196765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196765263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923702878769188"/>
          <c:y val="0.8686017229953612"/>
          <c:w val="0.39153397999731954"/>
          <c:h val="9.14317603153011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Random </a:t>
            </a:r>
          </a:p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and Perfectly Stabilized Price Path</a:t>
            </a:r>
          </a:p>
        </c:rich>
      </c:tx>
      <c:layout>
        <c:manualLayout>
          <c:xMode val="edge"/>
          <c:yMode val="edge"/>
          <c:x val="0.22430599599570383"/>
          <c:y val="4.3012315849051616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838372010884368"/>
          <c:y val="0.30646275042449278"/>
          <c:w val="0.84426284603938528"/>
          <c:h val="0.38711084264146456"/>
        </c:manualLayout>
      </c:layout>
      <c:lineChart>
        <c:grouping val="standard"/>
        <c:varyColors val="0"/>
        <c:ser>
          <c:idx val="0"/>
          <c:order val="0"/>
          <c:tx>
            <c:v>Random Price Path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Sheet1!$H$64:$H$83</c:f>
              <c:numCache>
                <c:formatCode>"$"#,##0.00</c:formatCode>
                <c:ptCount val="20"/>
                <c:pt idx="0">
                  <c:v>41.34308157027408</c:v>
                </c:pt>
                <c:pt idx="1">
                  <c:v>38.579438672813318</c:v>
                </c:pt>
                <c:pt idx="2">
                  <c:v>41.372953664653522</c:v>
                </c:pt>
                <c:pt idx="3">
                  <c:v>38.658886660601574</c:v>
                </c:pt>
                <c:pt idx="4">
                  <c:v>40.508985605943508</c:v>
                </c:pt>
                <c:pt idx="5">
                  <c:v>41.32397340102905</c:v>
                </c:pt>
                <c:pt idx="6">
                  <c:v>41.947108232720502</c:v>
                </c:pt>
                <c:pt idx="7">
                  <c:v>40.056519854541556</c:v>
                </c:pt>
                <c:pt idx="8">
                  <c:v>37.675448865983007</c:v>
                </c:pt>
                <c:pt idx="9">
                  <c:v>40.800444742895046</c:v>
                </c:pt>
                <c:pt idx="10">
                  <c:v>42.179499382377607</c:v>
                </c:pt>
                <c:pt idx="11">
                  <c:v>37.474659413846673</c:v>
                </c:pt>
                <c:pt idx="12">
                  <c:v>37.647362381310522</c:v>
                </c:pt>
                <c:pt idx="13">
                  <c:v>36.780123840799909</c:v>
                </c:pt>
                <c:pt idx="14">
                  <c:v>42.399311783597909</c:v>
                </c:pt>
                <c:pt idx="15">
                  <c:v>40.872666776015286</c:v>
                </c:pt>
                <c:pt idx="16">
                  <c:v>39.766995739517697</c:v>
                </c:pt>
                <c:pt idx="17">
                  <c:v>42.815624953498528</c:v>
                </c:pt>
                <c:pt idx="18">
                  <c:v>37.841187426202431</c:v>
                </c:pt>
                <c:pt idx="19">
                  <c:v>41.65900295594983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8-D14D-ADDD-83F901D651FB}"/>
            </c:ext>
          </c:extLst>
        </c:ser>
        <c:ser>
          <c:idx val="1"/>
          <c:order val="1"/>
          <c:tx>
            <c:v>Perfectly Stabilized Price Path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DD080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Sheet1!$K$127:$K$146</c:f>
              <c:numCache>
                <c:formatCode>"$"#,##0.00</c:formatCode>
                <c:ptCount val="20"/>
                <c:pt idx="0">
                  <c:v>40</c:v>
                </c:pt>
                <c:pt idx="1">
                  <c:v>40</c:v>
                </c:pt>
                <c:pt idx="2">
                  <c:v>40.000000000000014</c:v>
                </c:pt>
                <c:pt idx="3">
                  <c:v>40.000000000000007</c:v>
                </c:pt>
                <c:pt idx="4">
                  <c:v>40.000000000000007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40.000000000000007</c:v>
                </c:pt>
                <c:pt idx="14">
                  <c:v>40</c:v>
                </c:pt>
                <c:pt idx="15">
                  <c:v>40.000000000000007</c:v>
                </c:pt>
                <c:pt idx="16">
                  <c:v>40</c:v>
                </c:pt>
                <c:pt idx="17">
                  <c:v>40</c:v>
                </c:pt>
                <c:pt idx="18">
                  <c:v>40.000000000000007</c:v>
                </c:pt>
                <c:pt idx="19">
                  <c:v>40.000000000000014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8-D14D-ADDD-83F901D65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120895"/>
        <c:axId val="1"/>
      </c:lineChart>
      <c:catAx>
        <c:axId val="119712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197120895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542258216541362E-2"/>
          <c:y val="0.81185746165084927"/>
          <c:w val="0.81933995759541811"/>
          <c:h val="8.60246316981032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241300</xdr:colOff>
      <xdr:row>150</xdr:row>
      <xdr:rowOff>12700</xdr:rowOff>
    </xdr:from>
    <xdr:to>
      <xdr:col>6</xdr:col>
      <xdr:colOff>850900</xdr:colOff>
      <xdr:row>161</xdr:row>
      <xdr:rowOff>177800</xdr:rowOff>
    </xdr:to>
    <xdr:graphicFrame macro="">
      <xdr:nvGraphicFramePr>
        <xdr:cNvPr id="1046" name="Chart 22">
          <a:extLst>
            <a:ext uri="{FF2B5EF4-FFF2-40B4-BE49-F238E27FC236}">
              <a16:creationId xmlns:a16="http://schemas.microsoft.com/office/drawing/2014/main" id="{650D7CB5-62D6-53DD-F464-5E7C4C65C8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150</xdr:row>
      <xdr:rowOff>25400</xdr:rowOff>
    </xdr:from>
    <xdr:to>
      <xdr:col>11</xdr:col>
      <xdr:colOff>749300</xdr:colOff>
      <xdr:row>161</xdr:row>
      <xdr:rowOff>190500</xdr:rowOff>
    </xdr:to>
    <xdr:graphicFrame macro="">
      <xdr:nvGraphicFramePr>
        <xdr:cNvPr id="1047" name="Chart 23">
          <a:extLst>
            <a:ext uri="{FF2B5EF4-FFF2-40B4-BE49-F238E27FC236}">
              <a16:creationId xmlns:a16="http://schemas.microsoft.com/office/drawing/2014/main" id="{EF4F74E9-C9AA-9DBF-BA16-72D392C9C7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93</xdr:row>
      <xdr:rowOff>25400</xdr:rowOff>
    </xdr:from>
    <xdr:to>
      <xdr:col>5</xdr:col>
      <xdr:colOff>76200</xdr:colOff>
      <xdr:row>103</xdr:row>
      <xdr:rowOff>0</xdr:rowOff>
    </xdr:to>
    <xdr:graphicFrame macro="">
      <xdr:nvGraphicFramePr>
        <xdr:cNvPr id="1050" name="Chart 26">
          <a:extLst>
            <a:ext uri="{FF2B5EF4-FFF2-40B4-BE49-F238E27FC236}">
              <a16:creationId xmlns:a16="http://schemas.microsoft.com/office/drawing/2014/main" id="{C389329C-ECA8-CF4E-8D87-10840E524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76200</xdr:colOff>
      <xdr:row>93</xdr:row>
      <xdr:rowOff>38100</xdr:rowOff>
    </xdr:from>
    <xdr:to>
      <xdr:col>8</xdr:col>
      <xdr:colOff>508000</xdr:colOff>
      <xdr:row>103</xdr:row>
      <xdr:rowOff>0</xdr:rowOff>
    </xdr:to>
    <xdr:graphicFrame macro="">
      <xdr:nvGraphicFramePr>
        <xdr:cNvPr id="1051" name="Chart 27">
          <a:extLst>
            <a:ext uri="{FF2B5EF4-FFF2-40B4-BE49-F238E27FC236}">
              <a16:creationId xmlns:a16="http://schemas.microsoft.com/office/drawing/2014/main" id="{98B28157-7BD3-55AC-6641-B2E221EA2E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495300</xdr:colOff>
      <xdr:row>93</xdr:row>
      <xdr:rowOff>25400</xdr:rowOff>
    </xdr:from>
    <xdr:to>
      <xdr:col>12</xdr:col>
      <xdr:colOff>114300</xdr:colOff>
      <xdr:row>103</xdr:row>
      <xdr:rowOff>0</xdr:rowOff>
    </xdr:to>
    <xdr:graphicFrame macro="">
      <xdr:nvGraphicFramePr>
        <xdr:cNvPr id="1052" name="Chart 28">
          <a:extLst>
            <a:ext uri="{FF2B5EF4-FFF2-40B4-BE49-F238E27FC236}">
              <a16:creationId xmlns:a16="http://schemas.microsoft.com/office/drawing/2014/main" id="{48C33222-0E27-E549-B487-4DC10D7CB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215900</xdr:colOff>
      <xdr:row>163</xdr:row>
      <xdr:rowOff>38100</xdr:rowOff>
    </xdr:from>
    <xdr:to>
      <xdr:col>6</xdr:col>
      <xdr:colOff>863600</xdr:colOff>
      <xdr:row>174</xdr:row>
      <xdr:rowOff>0</xdr:rowOff>
    </xdr:to>
    <xdr:graphicFrame macro="">
      <xdr:nvGraphicFramePr>
        <xdr:cNvPr id="1054" name="Chart 30">
          <a:extLst>
            <a:ext uri="{FF2B5EF4-FFF2-40B4-BE49-F238E27FC236}">
              <a16:creationId xmlns:a16="http://schemas.microsoft.com/office/drawing/2014/main" id="{0157D7A0-C22D-4A91-2E89-4D3D56B027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850900</xdr:colOff>
      <xdr:row>279</xdr:row>
      <xdr:rowOff>12700</xdr:rowOff>
    </xdr:from>
    <xdr:to>
      <xdr:col>12</xdr:col>
      <xdr:colOff>50800</xdr:colOff>
      <xdr:row>314</xdr:row>
      <xdr:rowOff>0</xdr:rowOff>
    </xdr:to>
    <xdr:graphicFrame macro="">
      <xdr:nvGraphicFramePr>
        <xdr:cNvPr id="1055" name="Chart 31">
          <a:extLst>
            <a:ext uri="{FF2B5EF4-FFF2-40B4-BE49-F238E27FC236}">
              <a16:creationId xmlns:a16="http://schemas.microsoft.com/office/drawing/2014/main" id="{88CEEFC2-EE40-1743-7499-15EF77F63F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0</xdr:colOff>
      <xdr:row>175</xdr:row>
      <xdr:rowOff>12700</xdr:rowOff>
    </xdr:from>
    <xdr:to>
      <xdr:col>10</xdr:col>
      <xdr:colOff>38100</xdr:colOff>
      <xdr:row>185</xdr:row>
      <xdr:rowOff>76200</xdr:rowOff>
    </xdr:to>
    <xdr:graphicFrame macro="">
      <xdr:nvGraphicFramePr>
        <xdr:cNvPr id="1056" name="Chart 32">
          <a:extLst>
            <a:ext uri="{FF2B5EF4-FFF2-40B4-BE49-F238E27FC236}">
              <a16:creationId xmlns:a16="http://schemas.microsoft.com/office/drawing/2014/main" id="{EA021F66-114E-0393-E59F-E157BFCEAB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25400</xdr:colOff>
      <xdr:row>163</xdr:row>
      <xdr:rowOff>12700</xdr:rowOff>
    </xdr:from>
    <xdr:to>
      <xdr:col>11</xdr:col>
      <xdr:colOff>723900</xdr:colOff>
      <xdr:row>174</xdr:row>
      <xdr:rowOff>0</xdr:rowOff>
    </xdr:to>
    <xdr:graphicFrame macro="">
      <xdr:nvGraphicFramePr>
        <xdr:cNvPr id="1057" name="Chart 33">
          <a:extLst>
            <a:ext uri="{FF2B5EF4-FFF2-40B4-BE49-F238E27FC236}">
              <a16:creationId xmlns:a16="http://schemas.microsoft.com/office/drawing/2014/main" id="{F99A412D-80DD-7444-A54E-F815F7250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304800</xdr:colOff>
      <xdr:row>279</xdr:row>
      <xdr:rowOff>12700</xdr:rowOff>
    </xdr:from>
    <xdr:to>
      <xdr:col>6</xdr:col>
      <xdr:colOff>749300</xdr:colOff>
      <xdr:row>314</xdr:row>
      <xdr:rowOff>0</xdr:rowOff>
    </xdr:to>
    <xdr:graphicFrame macro="">
      <xdr:nvGraphicFramePr>
        <xdr:cNvPr id="1058" name="Chart 34">
          <a:extLst>
            <a:ext uri="{FF2B5EF4-FFF2-40B4-BE49-F238E27FC236}">
              <a16:creationId xmlns:a16="http://schemas.microsoft.com/office/drawing/2014/main" id="{A1A0AA7A-74DC-C060-7E94-F86D7CB08A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25400</xdr:colOff>
      <xdr:row>437</xdr:row>
      <xdr:rowOff>38100</xdr:rowOff>
    </xdr:from>
    <xdr:to>
      <xdr:col>5</xdr:col>
      <xdr:colOff>266700</xdr:colOff>
      <xdr:row>447</xdr:row>
      <xdr:rowOff>88900</xdr:rowOff>
    </xdr:to>
    <xdr:graphicFrame macro="">
      <xdr:nvGraphicFramePr>
        <xdr:cNvPr id="1059" name="Chart 35">
          <a:extLst>
            <a:ext uri="{FF2B5EF4-FFF2-40B4-BE49-F238E27FC236}">
              <a16:creationId xmlns:a16="http://schemas.microsoft.com/office/drawing/2014/main" id="{2E76F1B3-8017-B90F-7647-4905A887E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266700</xdr:colOff>
      <xdr:row>437</xdr:row>
      <xdr:rowOff>25400</xdr:rowOff>
    </xdr:from>
    <xdr:to>
      <xdr:col>8</xdr:col>
      <xdr:colOff>647700</xdr:colOff>
      <xdr:row>447</xdr:row>
      <xdr:rowOff>101600</xdr:rowOff>
    </xdr:to>
    <xdr:graphicFrame macro="">
      <xdr:nvGraphicFramePr>
        <xdr:cNvPr id="1061" name="Chart 37">
          <a:extLst>
            <a:ext uri="{FF2B5EF4-FFF2-40B4-BE49-F238E27FC236}">
              <a16:creationId xmlns:a16="http://schemas.microsoft.com/office/drawing/2014/main" id="{938DE496-6BBD-B9A1-C025-4959D4768A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660400</xdr:colOff>
      <xdr:row>437</xdr:row>
      <xdr:rowOff>25400</xdr:rowOff>
    </xdr:from>
    <xdr:to>
      <xdr:col>12</xdr:col>
      <xdr:colOff>38100</xdr:colOff>
      <xdr:row>447</xdr:row>
      <xdr:rowOff>101600</xdr:rowOff>
    </xdr:to>
    <xdr:graphicFrame macro="">
      <xdr:nvGraphicFramePr>
        <xdr:cNvPr id="1062" name="Chart 38">
          <a:extLst>
            <a:ext uri="{FF2B5EF4-FFF2-40B4-BE49-F238E27FC236}">
              <a16:creationId xmlns:a16="http://schemas.microsoft.com/office/drawing/2014/main" id="{8B98FD9A-0D0A-1C6E-564C-2A3A72CD3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266700</xdr:colOff>
      <xdr:row>449</xdr:row>
      <xdr:rowOff>12700</xdr:rowOff>
    </xdr:from>
    <xdr:to>
      <xdr:col>8</xdr:col>
      <xdr:colOff>660400</xdr:colOff>
      <xdr:row>460</xdr:row>
      <xdr:rowOff>190500</xdr:rowOff>
    </xdr:to>
    <xdr:graphicFrame macro="">
      <xdr:nvGraphicFramePr>
        <xdr:cNvPr id="1064" name="Chart 40">
          <a:extLst>
            <a:ext uri="{FF2B5EF4-FFF2-40B4-BE49-F238E27FC236}">
              <a16:creationId xmlns:a16="http://schemas.microsoft.com/office/drawing/2014/main" id="{E0556955-1B72-E1B5-440E-CA6E8FDFE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673100</xdr:colOff>
      <xdr:row>449</xdr:row>
      <xdr:rowOff>12700</xdr:rowOff>
    </xdr:from>
    <xdr:to>
      <xdr:col>12</xdr:col>
      <xdr:colOff>25400</xdr:colOff>
      <xdr:row>460</xdr:row>
      <xdr:rowOff>177800</xdr:rowOff>
    </xdr:to>
    <xdr:graphicFrame macro="">
      <xdr:nvGraphicFramePr>
        <xdr:cNvPr id="1065" name="Chart 41">
          <a:extLst>
            <a:ext uri="{FF2B5EF4-FFF2-40B4-BE49-F238E27FC236}">
              <a16:creationId xmlns:a16="http://schemas.microsoft.com/office/drawing/2014/main" id="{AA22D46B-7F5C-EFCC-6221-66A8FE0F6A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449</xdr:row>
      <xdr:rowOff>25400</xdr:rowOff>
    </xdr:from>
    <xdr:to>
      <xdr:col>5</xdr:col>
      <xdr:colOff>254000</xdr:colOff>
      <xdr:row>460</xdr:row>
      <xdr:rowOff>190500</xdr:rowOff>
    </xdr:to>
    <xdr:graphicFrame macro="">
      <xdr:nvGraphicFramePr>
        <xdr:cNvPr id="1066" name="Chart 42">
          <a:extLst>
            <a:ext uri="{FF2B5EF4-FFF2-40B4-BE49-F238E27FC236}">
              <a16:creationId xmlns:a16="http://schemas.microsoft.com/office/drawing/2014/main" id="{407F6491-2CC5-85ED-20D1-059B64D744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12700</xdr:colOff>
      <xdr:row>550</xdr:row>
      <xdr:rowOff>12700</xdr:rowOff>
    </xdr:from>
    <xdr:to>
      <xdr:col>6</xdr:col>
      <xdr:colOff>749300</xdr:colOff>
      <xdr:row>582</xdr:row>
      <xdr:rowOff>25400</xdr:rowOff>
    </xdr:to>
    <xdr:graphicFrame macro="">
      <xdr:nvGraphicFramePr>
        <xdr:cNvPr id="1067" name="Chart 43">
          <a:extLst>
            <a:ext uri="{FF2B5EF4-FFF2-40B4-BE49-F238E27FC236}">
              <a16:creationId xmlns:a16="http://schemas.microsoft.com/office/drawing/2014/main" id="{3D1DE5D6-86CC-8193-A1BE-D43548E84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749300</xdr:colOff>
      <xdr:row>550</xdr:row>
      <xdr:rowOff>25400</xdr:rowOff>
    </xdr:from>
    <xdr:to>
      <xdr:col>11</xdr:col>
      <xdr:colOff>800100</xdr:colOff>
      <xdr:row>582</xdr:row>
      <xdr:rowOff>12700</xdr:rowOff>
    </xdr:to>
    <xdr:graphicFrame macro="">
      <xdr:nvGraphicFramePr>
        <xdr:cNvPr id="1068" name="Chart 44">
          <a:extLst>
            <a:ext uri="{FF2B5EF4-FFF2-40B4-BE49-F238E27FC236}">
              <a16:creationId xmlns:a16="http://schemas.microsoft.com/office/drawing/2014/main" id="{806A4D92-94DD-97EC-7C34-B3074DC8D4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2CBE3-63C3-1B4F-B62B-C90B6BC24601}">
  <dimension ref="B1:AH749"/>
  <sheetViews>
    <sheetView tabSelected="1" topLeftCell="A243" workbookViewId="0">
      <selection activeCell="R198" sqref="R198:R200"/>
    </sheetView>
  </sheetViews>
  <sheetFormatPr baseColWidth="10" defaultRowHeight="16"/>
  <cols>
    <col min="1" max="1" width="3.796875" style="1" customWidth="1"/>
    <col min="2" max="2" width="6.3984375" style="1" customWidth="1"/>
    <col min="3" max="3" width="11" style="65"/>
    <col min="4" max="4" width="11.19921875" style="13" customWidth="1"/>
    <col min="5" max="5" width="13.796875" style="1" customWidth="1"/>
    <col min="6" max="6" width="13.3984375" style="10" customWidth="1"/>
    <col min="7" max="7" width="13.796875" style="1" customWidth="1"/>
    <col min="8" max="8" width="12.19921875" style="1" customWidth="1"/>
    <col min="9" max="9" width="14" style="1" customWidth="1"/>
    <col min="10" max="10" width="12.3984375" style="1" customWidth="1"/>
    <col min="11" max="11" width="14.59765625" style="1" customWidth="1"/>
    <col min="12" max="12" width="12.796875" style="1" customWidth="1"/>
    <col min="13" max="13" width="5.796875" style="1" customWidth="1"/>
    <col min="14" max="14" width="7" style="1" customWidth="1"/>
    <col min="15" max="15" width="7.3984375" style="1" customWidth="1"/>
    <col min="16" max="16" width="9.19921875" style="1" customWidth="1"/>
    <col min="17" max="16384" width="11" style="1"/>
  </cols>
  <sheetData>
    <row r="1" spans="2:12" ht="23">
      <c r="B1" s="65"/>
      <c r="C1" s="13"/>
      <c r="D1" s="1"/>
      <c r="E1" s="10"/>
      <c r="F1" s="1"/>
      <c r="G1" s="3" t="s">
        <v>241</v>
      </c>
    </row>
    <row r="2" spans="2:12" ht="17" customHeight="1">
      <c r="B2" s="65"/>
      <c r="C2" s="13"/>
      <c r="D2" s="1"/>
      <c r="E2" s="10"/>
      <c r="F2" s="1"/>
      <c r="G2" s="2" t="s">
        <v>242</v>
      </c>
    </row>
    <row r="3" spans="2:12" ht="17" customHeight="1">
      <c r="B3" s="65"/>
      <c r="C3" s="13"/>
      <c r="D3" s="1"/>
      <c r="E3" s="10"/>
      <c r="F3" s="1"/>
      <c r="G3" s="2" t="s">
        <v>243</v>
      </c>
    </row>
    <row r="4" spans="2:12" ht="17" customHeight="1" thickBot="1">
      <c r="B4" s="13" t="s">
        <v>19</v>
      </c>
      <c r="C4" s="13"/>
      <c r="D4" s="1"/>
      <c r="E4" s="10"/>
      <c r="F4" s="1"/>
      <c r="L4" s="4" t="s">
        <v>293</v>
      </c>
    </row>
    <row r="5" spans="2:12" ht="17" customHeight="1" thickBot="1">
      <c r="B5" s="65"/>
      <c r="C5" s="13"/>
      <c r="D5" s="7"/>
      <c r="E5" s="11"/>
      <c r="F5" s="6"/>
      <c r="G5" s="5" t="s">
        <v>1</v>
      </c>
      <c r="H5" s="6"/>
      <c r="I5" s="8"/>
      <c r="J5" s="9"/>
    </row>
    <row r="6" spans="2:12" ht="17" customHeight="1">
      <c r="B6" s="65"/>
      <c r="C6" s="13" t="s">
        <v>409</v>
      </c>
      <c r="D6" s="1"/>
      <c r="E6" s="10"/>
      <c r="F6" s="1"/>
    </row>
    <row r="7" spans="2:12" ht="17" customHeight="1">
      <c r="B7" s="65"/>
      <c r="C7" s="13" t="s">
        <v>410</v>
      </c>
      <c r="D7" s="1"/>
      <c r="E7" s="10"/>
      <c r="F7" s="1"/>
    </row>
    <row r="8" spans="2:12" ht="17" customHeight="1">
      <c r="B8" s="65"/>
      <c r="C8" s="13" t="s">
        <v>254</v>
      </c>
      <c r="D8" s="1"/>
      <c r="E8" s="10"/>
      <c r="F8" s="1"/>
    </row>
    <row r="9" spans="2:12" ht="17" customHeight="1">
      <c r="B9" s="65"/>
      <c r="C9" s="13" t="s">
        <v>126</v>
      </c>
      <c r="D9" s="1"/>
      <c r="E9" s="10"/>
      <c r="F9" s="1"/>
    </row>
    <row r="10" spans="2:12" ht="17" customHeight="1">
      <c r="B10" s="65"/>
      <c r="C10" s="13" t="s">
        <v>127</v>
      </c>
      <c r="D10" s="1"/>
      <c r="E10" s="10"/>
      <c r="F10" s="1"/>
    </row>
    <row r="11" spans="2:12" ht="17" customHeight="1">
      <c r="B11" s="65"/>
      <c r="C11" s="13" t="s">
        <v>128</v>
      </c>
      <c r="D11" s="1"/>
      <c r="E11" s="10"/>
      <c r="F11" s="1"/>
    </row>
    <row r="12" spans="2:12" ht="17" customHeight="1">
      <c r="B12" s="65">
        <v>1</v>
      </c>
      <c r="C12" s="65" t="s">
        <v>392</v>
      </c>
      <c r="D12" s="1"/>
      <c r="E12" s="12"/>
      <c r="F12" s="1"/>
    </row>
    <row r="13" spans="2:12" ht="17" customHeight="1">
      <c r="B13" s="65"/>
      <c r="C13" s="87" t="s">
        <v>341</v>
      </c>
      <c r="D13" s="1"/>
      <c r="F13" s="14"/>
      <c r="G13" s="85" t="s">
        <v>221</v>
      </c>
      <c r="H13" s="84"/>
      <c r="I13" s="1" t="s">
        <v>145</v>
      </c>
    </row>
    <row r="14" spans="2:12" ht="17" customHeight="1">
      <c r="B14" s="65"/>
      <c r="C14" s="13"/>
      <c r="D14" s="1"/>
      <c r="E14" s="12"/>
      <c r="F14" s="12"/>
      <c r="G14" s="85" t="s">
        <v>222</v>
      </c>
      <c r="H14" s="81"/>
      <c r="I14" s="1" t="s">
        <v>146</v>
      </c>
    </row>
    <row r="15" spans="2:12" ht="17" customHeight="1">
      <c r="B15" s="65"/>
      <c r="C15" s="13" t="s">
        <v>129</v>
      </c>
      <c r="D15" s="1"/>
      <c r="E15" s="12"/>
      <c r="F15" s="1"/>
    </row>
    <row r="16" spans="2:12" ht="17" customHeight="1">
      <c r="B16" s="65"/>
      <c r="C16" s="13" t="s">
        <v>270</v>
      </c>
      <c r="D16" s="1"/>
      <c r="E16" s="12"/>
      <c r="F16" s="1"/>
      <c r="H16" s="86" t="s">
        <v>406</v>
      </c>
    </row>
    <row r="17" spans="2:9" ht="17" customHeight="1">
      <c r="B17" s="65"/>
      <c r="C17" s="13"/>
      <c r="D17" s="1"/>
      <c r="E17" s="12"/>
      <c r="F17" s="1"/>
      <c r="G17" s="10" t="s">
        <v>407</v>
      </c>
      <c r="H17" s="86" t="s">
        <v>223</v>
      </c>
    </row>
    <row r="18" spans="2:9" ht="17" customHeight="1">
      <c r="B18" s="65"/>
      <c r="C18" s="13" t="s">
        <v>96</v>
      </c>
      <c r="D18" s="1"/>
      <c r="E18" s="12"/>
      <c r="F18" s="1"/>
      <c r="H18" s="1" t="s">
        <v>224</v>
      </c>
      <c r="I18" s="12"/>
    </row>
    <row r="19" spans="2:9" ht="17" customHeight="1">
      <c r="B19" s="65"/>
      <c r="C19" s="13"/>
      <c r="D19" s="1"/>
      <c r="F19" s="1"/>
      <c r="H19" s="1" t="s">
        <v>64</v>
      </c>
      <c r="I19" s="12"/>
    </row>
    <row r="20" spans="2:9" ht="17" customHeight="1">
      <c r="B20" s="65"/>
      <c r="C20" s="13" t="s">
        <v>342</v>
      </c>
      <c r="D20" s="1"/>
      <c r="E20" s="12"/>
      <c r="F20" s="1"/>
    </row>
    <row r="21" spans="2:9" ht="17" customHeight="1">
      <c r="B21" s="65"/>
      <c r="C21" s="13"/>
      <c r="D21" s="10" t="s">
        <v>65</v>
      </c>
      <c r="E21" s="81" t="s">
        <v>408</v>
      </c>
      <c r="F21" s="1"/>
    </row>
    <row r="22" spans="2:9" ht="17" customHeight="1">
      <c r="B22" s="65"/>
      <c r="C22" s="13"/>
      <c r="D22" s="10" t="s">
        <v>66</v>
      </c>
      <c r="E22" s="84" t="s">
        <v>391</v>
      </c>
      <c r="F22" s="1"/>
    </row>
    <row r="23" spans="2:9" ht="17" customHeight="1">
      <c r="B23" s="65"/>
      <c r="C23" s="13" t="s">
        <v>93</v>
      </c>
      <c r="D23" s="1"/>
      <c r="E23" s="12"/>
      <c r="F23" s="1"/>
    </row>
    <row r="24" spans="2:9" ht="17" customHeight="1">
      <c r="B24" s="65"/>
      <c r="C24" s="13" t="s">
        <v>220</v>
      </c>
      <c r="D24" s="1"/>
      <c r="E24" s="12"/>
      <c r="F24" s="1"/>
    </row>
    <row r="25" spans="2:9" ht="17" customHeight="1">
      <c r="B25" s="65"/>
      <c r="C25" s="13" t="s">
        <v>140</v>
      </c>
      <c r="D25" s="1"/>
      <c r="E25" s="12"/>
      <c r="F25" s="1"/>
    </row>
    <row r="26" spans="2:9" ht="17" customHeight="1">
      <c r="B26" s="65"/>
      <c r="C26" s="13" t="s">
        <v>67</v>
      </c>
      <c r="D26" s="1"/>
      <c r="E26" s="12"/>
      <c r="F26" s="1"/>
    </row>
    <row r="27" spans="2:9" ht="17" customHeight="1">
      <c r="B27" s="65"/>
      <c r="C27" s="13"/>
      <c r="D27" s="1" t="s">
        <v>46</v>
      </c>
      <c r="E27" s="12"/>
      <c r="F27" s="1"/>
    </row>
    <row r="28" spans="2:9" ht="17" customHeight="1">
      <c r="B28" s="65"/>
      <c r="C28" s="13"/>
      <c r="D28" s="1" t="s">
        <v>45</v>
      </c>
      <c r="E28" s="12"/>
      <c r="F28" s="1"/>
    </row>
    <row r="29" spans="2:9" ht="17" customHeight="1">
      <c r="B29" s="65"/>
      <c r="C29" s="13" t="s">
        <v>302</v>
      </c>
      <c r="D29" s="1"/>
      <c r="E29" s="12"/>
      <c r="F29" s="1"/>
    </row>
    <row r="30" spans="2:9" ht="17" customHeight="1">
      <c r="B30" s="65"/>
      <c r="C30" s="13" t="s">
        <v>68</v>
      </c>
      <c r="D30" s="1"/>
      <c r="E30" s="12"/>
      <c r="F30" s="1"/>
    </row>
    <row r="31" spans="2:9" ht="17" customHeight="1">
      <c r="B31" s="65"/>
      <c r="C31" s="13" t="s">
        <v>39</v>
      </c>
      <c r="D31" s="1"/>
      <c r="E31" s="12"/>
      <c r="F31" s="1"/>
    </row>
    <row r="32" spans="2:9" ht="17" customHeight="1">
      <c r="B32" s="65"/>
      <c r="C32" s="13" t="s">
        <v>40</v>
      </c>
      <c r="D32" s="1"/>
      <c r="E32" s="12"/>
      <c r="F32" s="1"/>
    </row>
    <row r="33" spans="2:10" ht="17" customHeight="1">
      <c r="B33" s="65"/>
      <c r="C33" s="13" t="s">
        <v>41</v>
      </c>
      <c r="D33" s="1"/>
      <c r="E33" s="12"/>
      <c r="F33" s="84" t="s">
        <v>47</v>
      </c>
      <c r="H33" s="1" t="s">
        <v>48</v>
      </c>
    </row>
    <row r="34" spans="2:10" ht="17" customHeight="1">
      <c r="B34" s="65"/>
      <c r="C34" s="13" t="s">
        <v>49</v>
      </c>
      <c r="D34" s="1"/>
      <c r="E34" s="12"/>
      <c r="F34" s="84"/>
    </row>
    <row r="35" spans="2:10" ht="17" customHeight="1">
      <c r="B35" s="65"/>
      <c r="C35" s="13" t="s">
        <v>50</v>
      </c>
      <c r="D35" s="1"/>
      <c r="E35" s="12"/>
      <c r="F35" s="84"/>
    </row>
    <row r="36" spans="2:10" ht="17" customHeight="1">
      <c r="B36" s="65"/>
      <c r="C36" s="13" t="s">
        <v>42</v>
      </c>
      <c r="D36" s="1"/>
      <c r="E36" s="12"/>
      <c r="F36" s="1"/>
    </row>
    <row r="37" spans="2:10" ht="17" customHeight="1">
      <c r="B37" s="65"/>
      <c r="C37" s="13" t="s">
        <v>43</v>
      </c>
      <c r="D37" s="1"/>
      <c r="E37" s="12"/>
      <c r="F37" s="1"/>
    </row>
    <row r="38" spans="2:10" ht="17" customHeight="1">
      <c r="B38" s="65"/>
      <c r="C38" s="13" t="s">
        <v>44</v>
      </c>
      <c r="D38" s="1"/>
      <c r="E38" s="12"/>
      <c r="F38" s="1"/>
    </row>
    <row r="39" spans="2:10" ht="17" customHeight="1">
      <c r="B39" s="65"/>
      <c r="C39" s="13"/>
      <c r="D39" s="84" t="s">
        <v>52</v>
      </c>
      <c r="F39" s="1"/>
      <c r="G39" s="81" t="s">
        <v>294</v>
      </c>
      <c r="H39" s="84" t="s">
        <v>53</v>
      </c>
    </row>
    <row r="40" spans="2:10" ht="17" customHeight="1">
      <c r="B40" s="65"/>
      <c r="C40" s="13" t="s">
        <v>54</v>
      </c>
      <c r="D40" s="84"/>
      <c r="F40" s="1"/>
      <c r="G40" s="81"/>
      <c r="H40" s="84"/>
    </row>
    <row r="41" spans="2:10" ht="17" customHeight="1">
      <c r="B41" s="65"/>
      <c r="C41" s="13" t="s">
        <v>55</v>
      </c>
      <c r="D41" s="84"/>
      <c r="F41" s="1"/>
      <c r="G41" s="81"/>
      <c r="H41" s="84"/>
    </row>
    <row r="42" spans="2:10" ht="17" customHeight="1">
      <c r="B42" s="65"/>
      <c r="C42" s="13"/>
      <c r="D42" s="84" t="s">
        <v>57</v>
      </c>
      <c r="F42" s="1"/>
      <c r="G42" s="81" t="s">
        <v>56</v>
      </c>
      <c r="H42" s="84" t="s">
        <v>58</v>
      </c>
    </row>
    <row r="43" spans="2:10" ht="17" customHeight="1">
      <c r="B43" s="65">
        <v>2</v>
      </c>
      <c r="C43" s="65" t="s">
        <v>233</v>
      </c>
      <c r="D43" s="1"/>
      <c r="E43" s="10"/>
      <c r="F43" s="1"/>
    </row>
    <row r="44" spans="2:10" ht="17" customHeight="1" thickBot="1">
      <c r="B44" s="65"/>
      <c r="C44" s="13" t="s">
        <v>253</v>
      </c>
      <c r="D44" s="1"/>
      <c r="E44" s="10"/>
      <c r="F44" s="1"/>
    </row>
    <row r="45" spans="2:10" ht="17" customHeight="1" thickBot="1">
      <c r="B45" s="65"/>
      <c r="C45" s="88"/>
      <c r="D45" s="71" t="s">
        <v>59</v>
      </c>
      <c r="E45" s="72">
        <v>80</v>
      </c>
      <c r="F45" s="73">
        <v>-0.8</v>
      </c>
      <c r="G45" s="74" t="s">
        <v>234</v>
      </c>
      <c r="H45" s="89"/>
      <c r="I45" s="103" t="s">
        <v>292</v>
      </c>
    </row>
    <row r="46" spans="2:10" ht="17" customHeight="1" thickBot="1">
      <c r="B46" s="65"/>
      <c r="C46" s="88"/>
      <c r="D46" s="71" t="s">
        <v>60</v>
      </c>
      <c r="E46" s="72">
        <v>20</v>
      </c>
      <c r="F46" s="75">
        <v>0.4</v>
      </c>
      <c r="G46" s="74" t="s">
        <v>235</v>
      </c>
      <c r="H46" s="89"/>
      <c r="I46" s="15" t="s">
        <v>61</v>
      </c>
      <c r="J46" s="69">
        <f>(E45-E46)/(-F45+F46)</f>
        <v>49.999999999999993</v>
      </c>
    </row>
    <row r="47" spans="2:10" ht="17" customHeight="1" thickBot="1">
      <c r="B47" s="65"/>
      <c r="C47" s="13"/>
      <c r="D47" s="1"/>
      <c r="E47" s="10"/>
      <c r="F47" s="1"/>
      <c r="I47" s="15" t="s">
        <v>62</v>
      </c>
      <c r="J47" s="70">
        <f>E45+F45*J46</f>
        <v>40</v>
      </c>
    </row>
    <row r="48" spans="2:10" ht="17" customHeight="1" thickBot="1">
      <c r="B48" s="65"/>
      <c r="C48" s="13"/>
      <c r="D48" s="1"/>
      <c r="E48" s="10"/>
      <c r="F48" s="1"/>
      <c r="I48" s="15" t="s">
        <v>63</v>
      </c>
      <c r="J48" s="70">
        <f>J46*J47</f>
        <v>1999.9999999999998</v>
      </c>
    </row>
    <row r="49" spans="2:33" ht="17" customHeight="1">
      <c r="B49" s="65"/>
      <c r="C49" s="13" t="s">
        <v>163</v>
      </c>
      <c r="D49" s="1"/>
      <c r="E49" s="10"/>
      <c r="F49" s="1"/>
      <c r="I49" s="91"/>
      <c r="J49" s="78"/>
    </row>
    <row r="50" spans="2:33" ht="17" customHeight="1">
      <c r="B50" s="65"/>
      <c r="C50" s="13" t="s">
        <v>295</v>
      </c>
      <c r="D50" s="1"/>
      <c r="E50" s="10"/>
      <c r="F50" s="1"/>
      <c r="I50" s="91"/>
      <c r="J50" s="78"/>
    </row>
    <row r="51" spans="2:33" ht="17" customHeight="1">
      <c r="B51" s="65"/>
      <c r="C51" s="13" t="s">
        <v>348</v>
      </c>
      <c r="D51" s="1"/>
      <c r="E51" s="10"/>
      <c r="F51" s="1"/>
      <c r="I51" s="91"/>
      <c r="J51" s="78"/>
    </row>
    <row r="52" spans="2:33" ht="17" customHeight="1">
      <c r="B52" s="65"/>
      <c r="C52" s="13" t="s">
        <v>349</v>
      </c>
      <c r="D52" s="1"/>
      <c r="E52" s="10"/>
      <c r="F52" s="1"/>
      <c r="I52" s="91"/>
      <c r="J52" s="78"/>
    </row>
    <row r="53" spans="2:33" ht="17" customHeight="1">
      <c r="B53" s="65"/>
      <c r="C53" s="13" t="s">
        <v>350</v>
      </c>
      <c r="D53" s="1"/>
      <c r="E53" s="10"/>
      <c r="F53" s="1"/>
      <c r="I53" s="91"/>
      <c r="J53" s="78"/>
    </row>
    <row r="54" spans="2:33" ht="17" customHeight="1">
      <c r="B54" s="65"/>
      <c r="C54" s="13" t="s">
        <v>148</v>
      </c>
      <c r="D54" s="1"/>
      <c r="E54" s="10"/>
      <c r="F54" s="1"/>
      <c r="I54" s="91"/>
      <c r="J54" s="78"/>
    </row>
    <row r="55" spans="2:33" ht="17" customHeight="1">
      <c r="B55" s="65"/>
      <c r="C55" s="13" t="s">
        <v>164</v>
      </c>
      <c r="D55" s="1"/>
      <c r="E55" s="10"/>
      <c r="F55" s="1"/>
      <c r="I55" s="91"/>
      <c r="J55" s="78"/>
    </row>
    <row r="56" spans="2:33" ht="17" customHeight="1">
      <c r="B56" s="65"/>
      <c r="C56" s="13" t="s">
        <v>165</v>
      </c>
      <c r="D56" s="1"/>
      <c r="E56" s="10"/>
      <c r="F56" s="1"/>
      <c r="I56" s="91"/>
      <c r="J56" s="78"/>
    </row>
    <row r="57" spans="2:33" ht="17" customHeight="1">
      <c r="B57" s="65"/>
      <c r="C57" s="13" t="s">
        <v>166</v>
      </c>
      <c r="D57" s="1"/>
      <c r="E57" s="10"/>
      <c r="F57" s="1"/>
      <c r="I57" s="91"/>
      <c r="J57" s="78"/>
    </row>
    <row r="58" spans="2:33" ht="17" customHeight="1">
      <c r="B58" s="65"/>
      <c r="C58" s="13"/>
      <c r="D58" s="1"/>
      <c r="E58" s="10"/>
      <c r="F58" s="1"/>
      <c r="I58" s="91"/>
      <c r="J58" s="78"/>
    </row>
    <row r="59" spans="2:33" ht="17" customHeight="1" thickBot="1">
      <c r="B59" s="65"/>
      <c r="C59" s="13"/>
      <c r="D59" s="1"/>
      <c r="E59" s="10"/>
      <c r="F59" s="1"/>
      <c r="G59" s="2" t="s">
        <v>271</v>
      </c>
    </row>
    <row r="60" spans="2:33" ht="17" customHeight="1" thickBot="1">
      <c r="B60" s="65"/>
      <c r="C60" s="138"/>
      <c r="D60" s="139"/>
      <c r="E60" s="92"/>
      <c r="F60" s="93"/>
      <c r="G60" s="94" t="s">
        <v>372</v>
      </c>
      <c r="H60" s="93"/>
      <c r="I60" s="93"/>
      <c r="J60" s="93"/>
      <c r="K60" s="287"/>
      <c r="L60" s="141"/>
    </row>
    <row r="61" spans="2:33" ht="17" customHeight="1" thickBot="1">
      <c r="B61" s="64"/>
      <c r="C61" s="121">
        <f>$E$45*$K$61</f>
        <v>16</v>
      </c>
      <c r="D61" s="121">
        <f>$E$46*$K$61</f>
        <v>4</v>
      </c>
      <c r="E61" s="95" t="s">
        <v>329</v>
      </c>
      <c r="F61" s="96"/>
      <c r="G61" s="96"/>
      <c r="H61" s="96"/>
      <c r="I61" s="96"/>
      <c r="J61" s="96"/>
      <c r="K61" s="300">
        <v>0.2</v>
      </c>
      <c r="L61" s="192" t="s">
        <v>51</v>
      </c>
    </row>
    <row r="62" spans="2:33" ht="17" customHeight="1">
      <c r="B62" s="65"/>
      <c r="C62" s="90" t="s">
        <v>272</v>
      </c>
      <c r="D62" s="90" t="s">
        <v>272</v>
      </c>
      <c r="E62" s="90" t="s">
        <v>167</v>
      </c>
      <c r="F62" s="90" t="s">
        <v>168</v>
      </c>
      <c r="G62" s="90" t="s">
        <v>250</v>
      </c>
      <c r="H62" s="90" t="s">
        <v>250</v>
      </c>
      <c r="I62" s="90" t="s">
        <v>250</v>
      </c>
      <c r="J62" s="20" t="s">
        <v>250</v>
      </c>
      <c r="K62" s="20" t="s">
        <v>250</v>
      </c>
      <c r="L62" s="20" t="s">
        <v>152</v>
      </c>
      <c r="N62"/>
    </row>
    <row r="63" spans="2:33" ht="17" customHeight="1" thickBot="1">
      <c r="B63" s="127" t="s">
        <v>249</v>
      </c>
      <c r="C63" s="21" t="s">
        <v>300</v>
      </c>
      <c r="D63" s="21" t="s">
        <v>301</v>
      </c>
      <c r="E63" s="21" t="s">
        <v>303</v>
      </c>
      <c r="F63" s="21" t="s">
        <v>304</v>
      </c>
      <c r="G63" s="21" t="s">
        <v>186</v>
      </c>
      <c r="H63" s="21" t="s">
        <v>183</v>
      </c>
      <c r="I63" s="21" t="s">
        <v>187</v>
      </c>
      <c r="J63" s="22" t="s">
        <v>184</v>
      </c>
      <c r="K63" s="22" t="s">
        <v>185</v>
      </c>
      <c r="L63" s="22" t="s">
        <v>252</v>
      </c>
      <c r="N63"/>
    </row>
    <row r="64" spans="2:33" s="17" customFormat="1" ht="14" customHeight="1" thickBot="1">
      <c r="B64" s="66">
        <v>1</v>
      </c>
      <c r="C64" s="336">
        <v>7.0777437908400316</v>
      </c>
      <c r="D64" s="336">
        <v>-1.5242495400088956</v>
      </c>
      <c r="E64" s="76">
        <f>$E$45+C64</f>
        <v>87.077743790840032</v>
      </c>
      <c r="F64" s="76">
        <f>$E$46+D64</f>
        <v>18.475750459991104</v>
      </c>
      <c r="G64" s="76">
        <f>(E64-F64)/(-$F$45+$F$46)</f>
        <v>57.168327775707432</v>
      </c>
      <c r="H64" s="120">
        <f>E64+$F$45*G64</f>
        <v>41.34308157027408</v>
      </c>
      <c r="I64" s="120">
        <f>G64*H64</f>
        <v>2363.514838467238</v>
      </c>
      <c r="J64" s="76">
        <f>($J$47-E64)/$F$45</f>
        <v>58.847179738550039</v>
      </c>
      <c r="K64" s="76">
        <f>($J$47-F64)/$F$46</f>
        <v>53.810623850022239</v>
      </c>
      <c r="L64" s="77">
        <f>K64-J64</f>
        <v>-5.0365558885278006</v>
      </c>
      <c r="N64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2:33" s="17" customFormat="1" ht="14" customHeight="1" thickBot="1">
      <c r="B65" s="66">
        <f>B64+1</f>
        <v>2</v>
      </c>
      <c r="C65" s="336">
        <v>-3.2376977094536414</v>
      </c>
      <c r="D65" s="336">
        <v>-0.5119931360532064</v>
      </c>
      <c r="E65" s="76">
        <f t="shared" ref="E65:E83" si="0">$E$45+C65</f>
        <v>76.762302290546359</v>
      </c>
      <c r="F65" s="76">
        <f t="shared" ref="F65:F83" si="1">$E$46+D65</f>
        <v>19.488006863946794</v>
      </c>
      <c r="G65" s="76">
        <f t="shared" ref="G65:G83" si="2">(E65-F65)/(-$F$45+$F$46)</f>
        <v>47.728579522166299</v>
      </c>
      <c r="H65" s="120">
        <f t="shared" ref="H65:H83" si="3">E65+$F$45*G65</f>
        <v>38.579438672813318</v>
      </c>
      <c r="I65" s="120">
        <f t="shared" ref="I65:I83" si="4">G65*H65</f>
        <v>1841.3418066159084</v>
      </c>
      <c r="J65" s="76">
        <f t="shared" ref="J65:J83" si="5">($J$47-E65)/$F$45</f>
        <v>45.952877863182948</v>
      </c>
      <c r="K65" s="76">
        <f t="shared" ref="K65:K83" si="6">($J$47-F65)/$F$46</f>
        <v>51.279982840133016</v>
      </c>
      <c r="L65" s="77">
        <f t="shared" ref="L65:L83" si="7">K65-J65</f>
        <v>5.3271049769500678</v>
      </c>
      <c r="N65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2:33" s="17" customFormat="1" ht="14" customHeight="1" thickBot="1">
      <c r="B66" s="66">
        <f t="shared" ref="B66:B72" si="8">B65+1</f>
        <v>3</v>
      </c>
      <c r="C66" s="76">
        <f t="shared" ref="C66:C83" ca="1" si="9">$C$61*(RAND()-0.5)</f>
        <v>5.2474649114566123</v>
      </c>
      <c r="D66" s="76">
        <f t="shared" ref="D66:D83" ca="1" si="10">$D$61*(RAND()-0.5)</f>
        <v>-0.56430195874803157</v>
      </c>
      <c r="E66" s="76">
        <f t="shared" ca="1" si="0"/>
        <v>85.247464911456618</v>
      </c>
      <c r="F66" s="76">
        <f t="shared" ca="1" si="1"/>
        <v>19.435698041251968</v>
      </c>
      <c r="G66" s="76">
        <f t="shared" ca="1" si="2"/>
        <v>54.843139058503866</v>
      </c>
      <c r="H66" s="120">
        <f t="shared" ca="1" si="3"/>
        <v>41.372953664653522</v>
      </c>
      <c r="I66" s="120">
        <f t="shared" ca="1" si="4"/>
        <v>2269.0226510916305</v>
      </c>
      <c r="J66" s="76">
        <f t="shared" ca="1" si="5"/>
        <v>56.559331139320769</v>
      </c>
      <c r="K66" s="76">
        <f t="shared" ca="1" si="6"/>
        <v>51.410754896870081</v>
      </c>
      <c r="L66" s="77">
        <f t="shared" ca="1" si="7"/>
        <v>-5.1485762424506873</v>
      </c>
      <c r="N66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2:33" s="17" customFormat="1" ht="14" customHeight="1" thickBot="1">
      <c r="B67" s="66">
        <f t="shared" si="8"/>
        <v>4</v>
      </c>
      <c r="C67" s="76">
        <f t="shared" ca="1" si="9"/>
        <v>-1.9764220185502523</v>
      </c>
      <c r="D67" s="76">
        <f t="shared" ca="1" si="10"/>
        <v>-1.0234589998225156</v>
      </c>
      <c r="E67" s="76">
        <f t="shared" ca="1" si="0"/>
        <v>78.023577981449748</v>
      </c>
      <c r="F67" s="76">
        <f t="shared" ca="1" si="1"/>
        <v>18.976541000177484</v>
      </c>
      <c r="G67" s="76">
        <f t="shared" ca="1" si="2"/>
        <v>49.205864151060211</v>
      </c>
      <c r="H67" s="120">
        <f t="shared" ca="1" si="3"/>
        <v>38.658886660601574</v>
      </c>
      <c r="I67" s="120">
        <f t="shared" ca="1" si="4"/>
        <v>1902.2439252527947</v>
      </c>
      <c r="J67" s="76">
        <f t="shared" ca="1" si="5"/>
        <v>47.529472476812181</v>
      </c>
      <c r="K67" s="76">
        <f t="shared" ca="1" si="6"/>
        <v>52.558647499556287</v>
      </c>
      <c r="L67" s="77">
        <f t="shared" ca="1" si="7"/>
        <v>5.0291750227441057</v>
      </c>
      <c r="N67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2:33" s="17" customFormat="1" ht="14" customHeight="1" thickBot="1">
      <c r="B68" s="66">
        <f t="shared" si="8"/>
        <v>5</v>
      </c>
      <c r="C68" s="76">
        <f t="shared" ca="1" si="9"/>
        <v>2.9716887831073517</v>
      </c>
      <c r="D68" s="76">
        <f t="shared" ca="1" si="10"/>
        <v>-0.72236598263842033</v>
      </c>
      <c r="E68" s="76">
        <f t="shared" ca="1" si="0"/>
        <v>82.971688783107354</v>
      </c>
      <c r="F68" s="76">
        <f t="shared" ca="1" si="1"/>
        <v>19.277634017361578</v>
      </c>
      <c r="G68" s="76">
        <f t="shared" ca="1" si="2"/>
        <v>53.078378971454804</v>
      </c>
      <c r="H68" s="120">
        <f t="shared" ca="1" si="3"/>
        <v>40.508985605943508</v>
      </c>
      <c r="I68" s="120">
        <f t="shared" ca="1" si="4"/>
        <v>2150.1512897414773</v>
      </c>
      <c r="J68" s="76">
        <f t="shared" ca="1" si="5"/>
        <v>53.714610978884188</v>
      </c>
      <c r="K68" s="76">
        <f t="shared" ca="1" si="6"/>
        <v>51.805914956596055</v>
      </c>
      <c r="L68" s="77">
        <f t="shared" ca="1" si="7"/>
        <v>-1.9086960222881331</v>
      </c>
      <c r="N68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2:33" s="17" customFormat="1" ht="14" customHeight="1" thickBot="1">
      <c r="B69" s="66">
        <f t="shared" si="8"/>
        <v>6</v>
      </c>
      <c r="C69" s="76">
        <f t="shared" ca="1" si="9"/>
        <v>6.2636318449292698</v>
      </c>
      <c r="D69" s="76">
        <f t="shared" ca="1" si="10"/>
        <v>-1.1458558209210752</v>
      </c>
      <c r="E69" s="76">
        <f t="shared" ca="1" si="0"/>
        <v>86.263631844929265</v>
      </c>
      <c r="F69" s="76">
        <f t="shared" ca="1" si="1"/>
        <v>18.854144179078926</v>
      </c>
      <c r="G69" s="76">
        <f t="shared" ca="1" si="2"/>
        <v>56.174573054875268</v>
      </c>
      <c r="H69" s="120">
        <f t="shared" ca="1" si="3"/>
        <v>41.32397340102905</v>
      </c>
      <c r="I69" s="120">
        <f t="shared" ca="1" si="4"/>
        <v>2321.3565627338289</v>
      </c>
      <c r="J69" s="76">
        <f t="shared" ca="1" si="5"/>
        <v>57.829539806161577</v>
      </c>
      <c r="K69" s="76">
        <f t="shared" ca="1" si="6"/>
        <v>52.864639552302684</v>
      </c>
      <c r="L69" s="77">
        <f t="shared" ca="1" si="7"/>
        <v>-4.9649002538588931</v>
      </c>
      <c r="N69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2:33" s="17" customFormat="1" ht="14" customHeight="1" thickBot="1">
      <c r="B70" s="66">
        <f t="shared" si="8"/>
        <v>7</v>
      </c>
      <c r="C70" s="76">
        <f t="shared" ca="1" si="9"/>
        <v>3.1509786448916195</v>
      </c>
      <c r="D70" s="76">
        <f t="shared" ca="1" si="10"/>
        <v>1.3451730266349404</v>
      </c>
      <c r="E70" s="76">
        <f t="shared" ca="1" si="0"/>
        <v>83.150978644891623</v>
      </c>
      <c r="F70" s="76">
        <f t="shared" ca="1" si="1"/>
        <v>21.345173026634939</v>
      </c>
      <c r="G70" s="76">
        <f t="shared" ca="1" si="2"/>
        <v>51.504838015213899</v>
      </c>
      <c r="H70" s="120">
        <f t="shared" ca="1" si="3"/>
        <v>41.947108232720502</v>
      </c>
      <c r="I70" s="120">
        <f t="shared" ca="1" si="4"/>
        <v>2160.4790147329149</v>
      </c>
      <c r="J70" s="76">
        <f t="shared" ca="1" si="5"/>
        <v>53.938723306114525</v>
      </c>
      <c r="K70" s="76">
        <f t="shared" ca="1" si="6"/>
        <v>46.637067433412653</v>
      </c>
      <c r="L70" s="77">
        <f t="shared" ca="1" si="7"/>
        <v>-7.3016558727018719</v>
      </c>
      <c r="N70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2:33" s="17" customFormat="1" ht="14" customHeight="1" thickBot="1">
      <c r="B71" s="66">
        <f t="shared" si="8"/>
        <v>8</v>
      </c>
      <c r="C71" s="76">
        <f t="shared" ca="1" si="9"/>
        <v>-0.54175280275078386</v>
      </c>
      <c r="D71" s="76">
        <f t="shared" ca="1" si="10"/>
        <v>0.35565618318771142</v>
      </c>
      <c r="E71" s="76">
        <f t="shared" ca="1" si="0"/>
        <v>79.458247197249221</v>
      </c>
      <c r="F71" s="76">
        <f t="shared" ca="1" si="1"/>
        <v>20.355656183187712</v>
      </c>
      <c r="G71" s="76">
        <f t="shared" ca="1" si="2"/>
        <v>49.252159178384581</v>
      </c>
      <c r="H71" s="120">
        <f t="shared" ca="1" si="3"/>
        <v>40.056519854541556</v>
      </c>
      <c r="I71" s="120">
        <f t="shared" ca="1" si="4"/>
        <v>1972.870092008003</v>
      </c>
      <c r="J71" s="76">
        <f t="shared" ca="1" si="5"/>
        <v>49.322808996561527</v>
      </c>
      <c r="K71" s="76">
        <f t="shared" ca="1" si="6"/>
        <v>49.110859542030717</v>
      </c>
      <c r="L71" s="77">
        <f t="shared" ca="1" si="7"/>
        <v>-0.21194945453081004</v>
      </c>
      <c r="N7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2:33" s="17" customFormat="1" ht="14" customHeight="1" thickBot="1">
      <c r="B72" s="66">
        <f t="shared" si="8"/>
        <v>9</v>
      </c>
      <c r="C72" s="76">
        <f t="shared" ca="1" si="9"/>
        <v>-4.1580048837934935</v>
      </c>
      <c r="D72" s="76">
        <f t="shared" ca="1" si="10"/>
        <v>-1.4078242591287462</v>
      </c>
      <c r="E72" s="76">
        <f t="shared" ca="1" si="0"/>
        <v>75.841995116206505</v>
      </c>
      <c r="F72" s="76">
        <f t="shared" ca="1" si="1"/>
        <v>18.592175740871255</v>
      </c>
      <c r="G72" s="76">
        <f t="shared" ca="1" si="2"/>
        <v>47.70818281277937</v>
      </c>
      <c r="H72" s="120">
        <f t="shared" ca="1" si="3"/>
        <v>37.675448865983007</v>
      </c>
      <c r="I72" s="120">
        <f t="shared" ca="1" si="4"/>
        <v>1797.4272020518385</v>
      </c>
      <c r="J72" s="76">
        <f t="shared" ca="1" si="5"/>
        <v>44.802493895258131</v>
      </c>
      <c r="K72" s="76">
        <f t="shared" ca="1" si="6"/>
        <v>53.519560647821862</v>
      </c>
      <c r="L72" s="77">
        <f t="shared" ca="1" si="7"/>
        <v>8.7170667525637313</v>
      </c>
      <c r="N72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2:33" s="17" customFormat="1" ht="14" customHeight="1" thickBot="1">
      <c r="B73" s="66">
        <v>10</v>
      </c>
      <c r="C73" s="76">
        <f t="shared" ca="1" si="9"/>
        <v>3.0331060387445081</v>
      </c>
      <c r="D73" s="76">
        <f t="shared" ca="1" si="10"/>
        <v>-0.31588590502969671</v>
      </c>
      <c r="E73" s="76">
        <f t="shared" ref="E73:E82" ca="1" si="11">$E$45+C73</f>
        <v>83.033106038744506</v>
      </c>
      <c r="F73" s="76">
        <f t="shared" ref="F73:F82" ca="1" si="12">$E$46+D73</f>
        <v>19.684114094970305</v>
      </c>
      <c r="G73" s="76">
        <f t="shared" ca="1" si="2"/>
        <v>52.790826619811824</v>
      </c>
      <c r="H73" s="120">
        <f t="shared" ca="1" si="3"/>
        <v>40.800444742895046</v>
      </c>
      <c r="I73" s="120">
        <f t="shared" ca="1" si="4"/>
        <v>2153.8892044333852</v>
      </c>
      <c r="J73" s="76">
        <f t="shared" ref="J73:J82" ca="1" si="13">($J$47-E73)/$F$45</f>
        <v>53.791382548430633</v>
      </c>
      <c r="K73" s="76">
        <f t="shared" ref="K73:K82" ca="1" si="14">($J$47-F73)/$F$46</f>
        <v>50.789714762574235</v>
      </c>
      <c r="L73" s="77">
        <f t="shared" ref="L73:L82" ca="1" si="15">K73-J73</f>
        <v>-3.001667785856398</v>
      </c>
      <c r="N73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2:33" s="17" customFormat="1" ht="14" customHeight="1" thickBot="1">
      <c r="B74" s="66">
        <v>11</v>
      </c>
      <c r="C74" s="76">
        <f t="shared" ca="1" si="9"/>
        <v>3.7831570554836471</v>
      </c>
      <c r="D74" s="76">
        <f t="shared" ca="1" si="10"/>
        <v>1.3776705458245799</v>
      </c>
      <c r="E74" s="76">
        <f t="shared" ca="1" si="11"/>
        <v>83.783157055483642</v>
      </c>
      <c r="F74" s="76">
        <f t="shared" ca="1" si="12"/>
        <v>21.377670545824579</v>
      </c>
      <c r="G74" s="76">
        <f t="shared" ca="1" si="2"/>
        <v>52.004572091382542</v>
      </c>
      <c r="H74" s="120">
        <f t="shared" ca="1" si="3"/>
        <v>42.179499382377607</v>
      </c>
      <c r="I74" s="120">
        <f t="shared" ca="1" si="4"/>
        <v>2193.5268164092818</v>
      </c>
      <c r="J74" s="76">
        <f t="shared" ca="1" si="13"/>
        <v>54.728946319354549</v>
      </c>
      <c r="K74" s="76">
        <f t="shared" ca="1" si="14"/>
        <v>46.55582363543855</v>
      </c>
      <c r="L74" s="77">
        <f t="shared" ca="1" si="15"/>
        <v>-8.1731226839159987</v>
      </c>
      <c r="N74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2:33" s="17" customFormat="1" ht="14" customHeight="1" thickBot="1">
      <c r="B75" s="66">
        <v>12</v>
      </c>
      <c r="C75" s="76">
        <f t="shared" ca="1" si="9"/>
        <v>-5.0643626980010126</v>
      </c>
      <c r="D75" s="76">
        <f t="shared" ca="1" si="10"/>
        <v>-1.2558295302294953</v>
      </c>
      <c r="E75" s="76">
        <f t="shared" ca="1" si="11"/>
        <v>74.93563730199898</v>
      </c>
      <c r="F75" s="76">
        <f t="shared" ca="1" si="12"/>
        <v>18.744170469770506</v>
      </c>
      <c r="G75" s="76">
        <f t="shared" ca="1" si="2"/>
        <v>46.826222360190386</v>
      </c>
      <c r="H75" s="120">
        <f t="shared" ca="1" si="3"/>
        <v>37.474659413846673</v>
      </c>
      <c r="I75" s="120">
        <f t="shared" ca="1" si="4"/>
        <v>1754.7967345851862</v>
      </c>
      <c r="J75" s="76">
        <f t="shared" ca="1" si="13"/>
        <v>43.669546627498725</v>
      </c>
      <c r="K75" s="76">
        <f t="shared" ca="1" si="14"/>
        <v>53.139573825573734</v>
      </c>
      <c r="L75" s="77">
        <f t="shared" ca="1" si="15"/>
        <v>9.4700271980750088</v>
      </c>
      <c r="N75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2:33" s="17" customFormat="1" ht="14" customHeight="1" thickBot="1">
      <c r="B76" s="66">
        <v>13</v>
      </c>
      <c r="C76" s="76">
        <f t="shared" ca="1" si="9"/>
        <v>-6.0947522817301749</v>
      </c>
      <c r="D76" s="76">
        <f t="shared" ca="1" si="10"/>
        <v>-0.48158028716913925</v>
      </c>
      <c r="E76" s="76">
        <f t="shared" ca="1" si="11"/>
        <v>73.90524771826982</v>
      </c>
      <c r="F76" s="76">
        <f t="shared" ca="1" si="12"/>
        <v>19.518419712830863</v>
      </c>
      <c r="G76" s="76">
        <f t="shared" ca="1" si="2"/>
        <v>45.322356671199124</v>
      </c>
      <c r="H76" s="120">
        <f t="shared" ca="1" si="3"/>
        <v>37.647362381310522</v>
      </c>
      <c r="I76" s="120">
        <f t="shared" ca="1" si="4"/>
        <v>1706.2671855756398</v>
      </c>
      <c r="J76" s="76">
        <f t="shared" ca="1" si="13"/>
        <v>42.381559647837271</v>
      </c>
      <c r="K76" s="76">
        <f t="shared" ca="1" si="14"/>
        <v>51.203950717922844</v>
      </c>
      <c r="L76" s="77">
        <f t="shared" ca="1" si="15"/>
        <v>8.8223910700855726</v>
      </c>
      <c r="N7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2:33" s="17" customFormat="1" ht="14" customHeight="1" thickBot="1">
      <c r="B77" s="66">
        <v>14</v>
      </c>
      <c r="C77" s="76">
        <f t="shared" ca="1" si="9"/>
        <v>-7.8107604948133744</v>
      </c>
      <c r="D77" s="76">
        <f t="shared" ca="1" si="10"/>
        <v>-0.92443399139344917</v>
      </c>
      <c r="E77" s="76">
        <f t="shared" ca="1" si="11"/>
        <v>72.18923950518662</v>
      </c>
      <c r="F77" s="76">
        <f t="shared" ca="1" si="12"/>
        <v>19.07556600860655</v>
      </c>
      <c r="G77" s="76">
        <f t="shared" ca="1" si="2"/>
        <v>44.261394580483383</v>
      </c>
      <c r="H77" s="120">
        <f t="shared" ca="1" si="3"/>
        <v>36.780123840799909</v>
      </c>
      <c r="I77" s="120">
        <f t="shared" ca="1" si="4"/>
        <v>1627.9395740366888</v>
      </c>
      <c r="J77" s="76">
        <f t="shared" ca="1" si="13"/>
        <v>40.236549381483272</v>
      </c>
      <c r="K77" s="76">
        <f t="shared" ca="1" si="14"/>
        <v>52.31108497848362</v>
      </c>
      <c r="L77" s="77">
        <f t="shared" ca="1" si="15"/>
        <v>12.074535597000349</v>
      </c>
      <c r="N77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2:33" s="17" customFormat="1" ht="14" customHeight="1" thickBot="1">
      <c r="B78" s="66">
        <v>15</v>
      </c>
      <c r="C78" s="76">
        <f t="shared" ca="1" si="9"/>
        <v>7.5456862625180339</v>
      </c>
      <c r="D78" s="76">
        <f t="shared" ca="1" si="10"/>
        <v>-0.17387545586216824</v>
      </c>
      <c r="E78" s="76">
        <f t="shared" ca="1" si="11"/>
        <v>87.545686262518032</v>
      </c>
      <c r="F78" s="76">
        <f t="shared" ca="1" si="12"/>
        <v>19.826124544137834</v>
      </c>
      <c r="G78" s="76">
        <f t="shared" ca="1" si="2"/>
        <v>56.43296809865015</v>
      </c>
      <c r="H78" s="120">
        <f t="shared" ca="1" si="3"/>
        <v>42.399311783597909</v>
      </c>
      <c r="I78" s="120">
        <f t="shared" ca="1" si="4"/>
        <v>2392.7190092885021</v>
      </c>
      <c r="J78" s="76">
        <f t="shared" ca="1" si="13"/>
        <v>59.432107828147537</v>
      </c>
      <c r="K78" s="76">
        <f t="shared" ca="1" si="14"/>
        <v>50.434688639655413</v>
      </c>
      <c r="L78" s="77">
        <f t="shared" ca="1" si="15"/>
        <v>-8.997419188492124</v>
      </c>
      <c r="N78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2:33" s="17" customFormat="1" ht="14" customHeight="1" thickBot="1">
      <c r="B79" s="66">
        <v>16</v>
      </c>
      <c r="C79" s="76">
        <f t="shared" ca="1" si="9"/>
        <v>1.5279344889929494</v>
      </c>
      <c r="D79" s="76">
        <f t="shared" ca="1" si="10"/>
        <v>0.54503291952645005</v>
      </c>
      <c r="E79" s="76">
        <f t="shared" ca="1" si="11"/>
        <v>81.527934488992955</v>
      </c>
      <c r="F79" s="76">
        <f t="shared" ca="1" si="12"/>
        <v>20.545032919526449</v>
      </c>
      <c r="G79" s="76">
        <f t="shared" ca="1" si="2"/>
        <v>50.819084641222084</v>
      </c>
      <c r="H79" s="120">
        <f t="shared" ca="1" si="3"/>
        <v>40.872666776015286</v>
      </c>
      <c r="I79" s="120">
        <f t="shared" ca="1" si="4"/>
        <v>2077.1115124027865</v>
      </c>
      <c r="J79" s="76">
        <f t="shared" ca="1" si="13"/>
        <v>51.90991811124119</v>
      </c>
      <c r="K79" s="76">
        <f t="shared" ca="1" si="14"/>
        <v>48.637417701183878</v>
      </c>
      <c r="L79" s="77">
        <f t="shared" ca="1" si="15"/>
        <v>-3.2725004100573116</v>
      </c>
      <c r="N79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2:33" s="17" customFormat="1" ht="14" customHeight="1" thickBot="1">
      <c r="B80" s="66">
        <v>17</v>
      </c>
      <c r="C80" s="76">
        <f t="shared" ca="1" si="9"/>
        <v>1.7789138277585756</v>
      </c>
      <c r="D80" s="76">
        <f t="shared" ca="1" si="10"/>
        <v>-1.238963304602744</v>
      </c>
      <c r="E80" s="76">
        <f t="shared" ca="1" si="11"/>
        <v>81.778913827758572</v>
      </c>
      <c r="F80" s="76">
        <f t="shared" ca="1" si="12"/>
        <v>18.761036695397255</v>
      </c>
      <c r="G80" s="76">
        <f t="shared" ca="1" si="2"/>
        <v>52.514897610301091</v>
      </c>
      <c r="H80" s="120">
        <f t="shared" ca="1" si="3"/>
        <v>39.766995739517697</v>
      </c>
      <c r="I80" s="120">
        <f t="shared" ca="1" si="4"/>
        <v>2088.3597095300515</v>
      </c>
      <c r="J80" s="76">
        <f t="shared" ca="1" si="13"/>
        <v>52.223642284698215</v>
      </c>
      <c r="K80" s="76">
        <f t="shared" ca="1" si="14"/>
        <v>53.097408261506857</v>
      </c>
      <c r="L80" s="77">
        <f t="shared" ca="1" si="15"/>
        <v>0.87376597680864165</v>
      </c>
      <c r="N80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2:34" s="17" customFormat="1" ht="14" customHeight="1" thickBot="1">
      <c r="B81" s="66">
        <v>18</v>
      </c>
      <c r="C81" s="76">
        <f t="shared" ca="1" si="9"/>
        <v>5.995629408439104</v>
      </c>
      <c r="D81" s="76">
        <f t="shared" ca="1" si="10"/>
        <v>1.2256227260282389</v>
      </c>
      <c r="E81" s="76">
        <f t="shared" ca="1" si="11"/>
        <v>85.9956294084391</v>
      </c>
      <c r="F81" s="76">
        <f t="shared" ca="1" si="12"/>
        <v>21.225622726028238</v>
      </c>
      <c r="G81" s="76">
        <f t="shared" ca="1" si="2"/>
        <v>53.975005568675712</v>
      </c>
      <c r="H81" s="120">
        <f t="shared" ca="1" si="3"/>
        <v>42.815624953498528</v>
      </c>
      <c r="I81" s="120">
        <f t="shared" ca="1" si="4"/>
        <v>2310.9735952914139</v>
      </c>
      <c r="J81" s="76">
        <f t="shared" ca="1" si="13"/>
        <v>57.494536760548876</v>
      </c>
      <c r="K81" s="76">
        <f t="shared" ca="1" si="14"/>
        <v>46.9359431849294</v>
      </c>
      <c r="L81" s="77">
        <f t="shared" ca="1" si="15"/>
        <v>-10.558593575619476</v>
      </c>
      <c r="N8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2:34" s="17" customFormat="1" ht="14" customHeight="1" thickBot="1">
      <c r="B82" s="66">
        <v>19</v>
      </c>
      <c r="C82" s="76">
        <f t="shared" ca="1" si="9"/>
        <v>-7.7911363628137185</v>
      </c>
      <c r="D82" s="76">
        <f t="shared" ca="1" si="10"/>
        <v>0.65734932071050167</v>
      </c>
      <c r="E82" s="76">
        <f t="shared" ca="1" si="11"/>
        <v>72.208863637186283</v>
      </c>
      <c r="F82" s="76">
        <f t="shared" ca="1" si="12"/>
        <v>20.657349320710502</v>
      </c>
      <c r="G82" s="76">
        <f t="shared" ca="1" si="2"/>
        <v>42.95959526372981</v>
      </c>
      <c r="H82" s="120">
        <f t="shared" ca="1" si="3"/>
        <v>37.841187426202431</v>
      </c>
      <c r="I82" s="120">
        <f t="shared" ca="1" si="4"/>
        <v>1625.642096128598</v>
      </c>
      <c r="J82" s="76">
        <f t="shared" ca="1" si="13"/>
        <v>40.261079546482854</v>
      </c>
      <c r="K82" s="76">
        <f t="shared" ca="1" si="14"/>
        <v>48.356626698223742</v>
      </c>
      <c r="L82" s="77">
        <f t="shared" ca="1" si="15"/>
        <v>8.0955471517408881</v>
      </c>
      <c r="N82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2:34" s="17" customFormat="1" ht="14" customHeight="1" thickBot="1">
      <c r="B83" s="66">
        <v>20</v>
      </c>
      <c r="C83" s="77">
        <f t="shared" ca="1" si="9"/>
        <v>7.9889844511263739</v>
      </c>
      <c r="D83" s="77">
        <f t="shared" ca="1" si="10"/>
        <v>-1.5059877916384403</v>
      </c>
      <c r="E83" s="77">
        <f t="shared" ca="1" si="0"/>
        <v>87.98898445112637</v>
      </c>
      <c r="F83" s="77">
        <f t="shared" ca="1" si="1"/>
        <v>18.494012208361561</v>
      </c>
      <c r="G83" s="77">
        <f t="shared" ca="1" si="2"/>
        <v>57.912476868970671</v>
      </c>
      <c r="H83" s="97">
        <f t="shared" ca="1" si="3"/>
        <v>41.65900295594983</v>
      </c>
      <c r="I83" s="97">
        <f t="shared" ca="1" si="4"/>
        <v>2412.5760450708253</v>
      </c>
      <c r="J83" s="76">
        <f t="shared" ca="1" si="5"/>
        <v>59.986230563907959</v>
      </c>
      <c r="K83" s="76">
        <f t="shared" ca="1" si="6"/>
        <v>53.764969479096095</v>
      </c>
      <c r="L83" s="77">
        <f t="shared" ca="1" si="7"/>
        <v>-6.2212610848118644</v>
      </c>
      <c r="N83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2:34" s="17" customFormat="1" ht="14" customHeight="1" thickBot="1">
      <c r="B84" s="127" t="s">
        <v>251</v>
      </c>
      <c r="C84" s="104">
        <f t="shared" ref="C84:L84" ca="1" si="16">AVERAGE(C64:C83)</f>
        <v>0.98450151281908127</v>
      </c>
      <c r="D84" s="104">
        <f t="shared" ca="1" si="16"/>
        <v>-0.36450506206667999</v>
      </c>
      <c r="E84" s="104">
        <f t="shared" ca="1" si="16"/>
        <v>80.984501512819079</v>
      </c>
      <c r="F84" s="104">
        <f t="shared" ca="1" si="16"/>
        <v>19.635494937933316</v>
      </c>
      <c r="G84" s="115">
        <f ca="1">AVERAGE(G64:G83)</f>
        <v>51.124172145738129</v>
      </c>
      <c r="H84" s="115">
        <f ca="1">AVERAGE(H64:H83)</f>
        <v>40.085163796228571</v>
      </c>
      <c r="I84" s="151">
        <f t="shared" ca="1" si="16"/>
        <v>2056.1104432723996</v>
      </c>
      <c r="J84" s="121">
        <f t="shared" ca="1" si="16"/>
        <v>51.230626891023846</v>
      </c>
      <c r="K84" s="121">
        <f t="shared" ca="1" si="16"/>
        <v>50.911262655166695</v>
      </c>
      <c r="L84" s="121">
        <f t="shared" ca="1" si="16"/>
        <v>-0.31936423585715018</v>
      </c>
      <c r="N84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2:34" s="17" customFormat="1" ht="14" customHeight="1" thickBot="1">
      <c r="B85" s="127" t="s">
        <v>394</v>
      </c>
      <c r="C85" s="121">
        <f ca="1">STDEV(C64:C83)</f>
        <v>5.2235958074264932</v>
      </c>
      <c r="D85" s="121">
        <f t="shared" ref="D85:L85" ca="1" si="17">STDEV(D64:D83)</f>
        <v>0.9671661436659974</v>
      </c>
      <c r="E85" s="121">
        <f t="shared" ca="1" si="17"/>
        <v>5.2235958074264941</v>
      </c>
      <c r="F85" s="121">
        <f t="shared" ca="1" si="17"/>
        <v>0.96716614366599674</v>
      </c>
      <c r="G85" s="121">
        <f t="shared" ca="1" si="17"/>
        <v>4.3774507912645388</v>
      </c>
      <c r="H85" s="121">
        <f t="shared" ca="1" si="17"/>
        <v>1.8939536641222519</v>
      </c>
      <c r="I85" s="152">
        <f t="shared" ca="1" si="17"/>
        <v>260.63024151614775</v>
      </c>
      <c r="J85" s="121">
        <f t="shared" ca="1" si="17"/>
        <v>6.5294947592831178</v>
      </c>
      <c r="K85" s="121">
        <f t="shared" ca="1" si="17"/>
        <v>2.4179153591649922</v>
      </c>
      <c r="L85" s="121">
        <f t="shared" ca="1" si="17"/>
        <v>7.1023262404584449</v>
      </c>
      <c r="N85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2:34" s="17" customFormat="1" ht="14" customHeight="1" thickBot="1">
      <c r="B86" s="127" t="s">
        <v>395</v>
      </c>
      <c r="C86" s="121">
        <f ca="1">C85/C84</f>
        <v>5.3058281164738208</v>
      </c>
      <c r="D86" s="121">
        <f t="shared" ref="D86:L86" ca="1" si="18">D85/D84</f>
        <v>-2.653368208886687</v>
      </c>
      <c r="E86" s="121">
        <f t="shared" ca="1" si="18"/>
        <v>6.4501178742202278E-2</v>
      </c>
      <c r="F86" s="121">
        <f t="shared" ca="1" si="18"/>
        <v>4.925601044043728E-2</v>
      </c>
      <c r="G86" s="121">
        <f t="shared" ca="1" si="18"/>
        <v>8.5623895850789958E-2</v>
      </c>
      <c r="H86" s="121">
        <f t="shared" ca="1" si="18"/>
        <v>4.7248245604036808E-2</v>
      </c>
      <c r="I86" s="121">
        <f t="shared" ca="1" si="18"/>
        <v>0.12675887249584805</v>
      </c>
      <c r="J86" s="121">
        <f t="shared" ca="1" si="18"/>
        <v>0.1274529545221543</v>
      </c>
      <c r="K86" s="121">
        <f t="shared" ca="1" si="18"/>
        <v>4.7492739976654492E-2</v>
      </c>
      <c r="L86" s="121">
        <f t="shared" ca="1" si="18"/>
        <v>-22.238953029278065</v>
      </c>
      <c r="N86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2:34" s="84" customFormat="1" ht="17" customHeight="1">
      <c r="C87" s="87"/>
      <c r="D87" s="89"/>
      <c r="E87" s="89"/>
      <c r="F87" s="89"/>
      <c r="G87" s="89"/>
      <c r="H87" s="89"/>
      <c r="I87" s="89"/>
      <c r="J87" s="89"/>
      <c r="K87" s="89"/>
      <c r="L87" s="89"/>
      <c r="M87" s="89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2:34" s="84" customFormat="1" ht="17" customHeight="1">
      <c r="B88" s="89" t="s">
        <v>347</v>
      </c>
      <c r="C88" s="89"/>
      <c r="D88" s="89"/>
      <c r="E88" s="89"/>
      <c r="F88" s="89"/>
      <c r="G88" s="89"/>
      <c r="H88" s="89"/>
      <c r="I88" s="89"/>
      <c r="J88" s="89"/>
      <c r="K88" s="89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2:34" s="84" customFormat="1" ht="17" customHeight="1">
      <c r="B89" s="89" t="s">
        <v>201</v>
      </c>
      <c r="C89" s="89"/>
      <c r="D89" s="89"/>
      <c r="E89" s="89"/>
      <c r="F89" s="89"/>
      <c r="G89" s="89"/>
      <c r="H89" s="89"/>
      <c r="I89" s="89"/>
      <c r="J89" s="89"/>
      <c r="K89" s="89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2:34" s="84" customFormat="1" ht="17" customHeight="1">
      <c r="B90" s="89" t="s">
        <v>209</v>
      </c>
      <c r="C90" s="89"/>
      <c r="D90" s="89"/>
      <c r="E90" s="89"/>
      <c r="F90" s="89"/>
      <c r="G90" s="89"/>
      <c r="H90" s="89"/>
      <c r="I90" s="89"/>
      <c r="J90" s="89"/>
      <c r="K90" s="89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2:34" s="84" customFormat="1" ht="17" customHeight="1">
      <c r="B91" s="89" t="s">
        <v>208</v>
      </c>
      <c r="C91" s="89"/>
      <c r="D91" s="89"/>
      <c r="E91" s="89"/>
      <c r="F91" s="89"/>
      <c r="G91" s="89"/>
      <c r="H91" s="89"/>
      <c r="I91" s="89"/>
      <c r="J91" s="89"/>
      <c r="K91" s="89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2:34" s="84" customFormat="1" ht="17" customHeight="1">
      <c r="C92" s="87"/>
      <c r="D92" s="89"/>
      <c r="E92" s="89"/>
      <c r="F92" s="89"/>
      <c r="G92" s="89"/>
      <c r="H92" s="89"/>
      <c r="I92" s="89"/>
      <c r="J92" s="89"/>
      <c r="K92" s="89"/>
      <c r="L92" s="89"/>
      <c r="M92" s="89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2:34" s="2" customFormat="1" ht="17" customHeight="1">
      <c r="B93" s="122"/>
      <c r="C93" s="107"/>
      <c r="D93" s="124" t="s">
        <v>194</v>
      </c>
      <c r="E93" s="107"/>
      <c r="F93" s="107"/>
      <c r="G93" s="147" t="s">
        <v>182</v>
      </c>
      <c r="H93" s="107"/>
      <c r="I93" s="107"/>
      <c r="J93" s="125"/>
      <c r="K93" s="4" t="s">
        <v>188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2:34" s="17" customFormat="1" ht="17" customHeight="1">
      <c r="B94" s="19"/>
      <c r="C94" s="99"/>
      <c r="D94" s="99"/>
      <c r="E94" s="99"/>
      <c r="F94" s="99"/>
      <c r="G94" s="99"/>
      <c r="H94" s="99"/>
      <c r="I94" s="100"/>
      <c r="J94" s="101"/>
      <c r="K94"/>
      <c r="L94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2:34" s="17" customFormat="1" ht="17" customHeight="1">
      <c r="B95" s="19"/>
      <c r="C95" s="99"/>
      <c r="D95" s="99"/>
      <c r="E95" s="99"/>
      <c r="F95" s="99"/>
      <c r="G95" s="99"/>
      <c r="H95" s="99"/>
      <c r="I95" s="100"/>
      <c r="J95" s="101"/>
      <c r="K95"/>
      <c r="L95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2:34" s="17" customFormat="1" ht="17" customHeight="1">
      <c r="B96" s="19"/>
      <c r="C96" s="99"/>
      <c r="D96" s="99"/>
      <c r="E96" s="99"/>
      <c r="F96" s="99"/>
      <c r="G96" s="99"/>
      <c r="H96" s="99"/>
      <c r="I96" s="100"/>
      <c r="J96" s="101"/>
      <c r="K96"/>
      <c r="L96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2:33" s="17" customFormat="1" ht="17" customHeight="1">
      <c r="B97" s="19"/>
      <c r="C97" s="99"/>
      <c r="D97" s="99"/>
      <c r="E97" s="99"/>
      <c r="F97" s="99"/>
      <c r="G97" s="99"/>
      <c r="H97" s="99"/>
      <c r="I97" s="100"/>
      <c r="J97" s="101"/>
      <c r="K97"/>
      <c r="L97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2:33" s="17" customFormat="1" ht="17" customHeight="1">
      <c r="B98" s="19"/>
      <c r="C98" s="99"/>
      <c r="D98" s="99"/>
      <c r="E98" s="99"/>
      <c r="F98" s="99"/>
      <c r="G98" s="99"/>
      <c r="H98" s="99"/>
      <c r="I98" s="100"/>
      <c r="J98" s="101"/>
      <c r="K98"/>
      <c r="L98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2:33" s="17" customFormat="1" ht="17" customHeight="1">
      <c r="B99" s="19"/>
      <c r="C99" s="99"/>
      <c r="D99" s="99"/>
      <c r="E99" s="99"/>
      <c r="F99" s="99"/>
      <c r="G99" s="99"/>
      <c r="H99" s="99"/>
      <c r="I99" s="100"/>
      <c r="J99" s="101"/>
      <c r="K99"/>
      <c r="L99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2:33" s="17" customFormat="1" ht="17" customHeight="1">
      <c r="B100" s="19"/>
      <c r="C100" s="99"/>
      <c r="D100" s="99"/>
      <c r="E100" s="99"/>
      <c r="F100" s="99"/>
      <c r="G100" s="99"/>
      <c r="H100" s="99"/>
      <c r="I100" s="100"/>
      <c r="J100" s="101"/>
      <c r="K100"/>
      <c r="L100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2:33" s="17" customFormat="1" ht="17" customHeight="1">
      <c r="B101" s="19"/>
      <c r="C101" s="99"/>
      <c r="D101" s="99"/>
      <c r="E101" s="99"/>
      <c r="F101" s="99"/>
      <c r="G101" s="99"/>
      <c r="H101" s="99"/>
      <c r="I101" s="100"/>
      <c r="J101" s="101"/>
      <c r="K101"/>
      <c r="L10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2:33" s="17" customFormat="1" ht="17" customHeight="1">
      <c r="B102" s="19"/>
      <c r="C102" s="99"/>
      <c r="D102" s="99"/>
      <c r="E102" s="99"/>
      <c r="F102" s="99"/>
      <c r="G102" s="99"/>
      <c r="H102" s="99"/>
      <c r="I102" s="100"/>
      <c r="J102" s="101"/>
      <c r="K102"/>
      <c r="L102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2:33" s="17" customFormat="1" ht="17" customHeight="1">
      <c r="B103" s="19"/>
      <c r="C103" s="99"/>
      <c r="D103" s="99"/>
      <c r="E103" s="99"/>
      <c r="F103" s="99"/>
      <c r="G103" s="99"/>
      <c r="H103" s="99"/>
      <c r="I103" s="100"/>
      <c r="J103" s="101"/>
      <c r="K103"/>
      <c r="L103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2:33" s="17" customFormat="1" ht="17" customHeight="1">
      <c r="B104" s="19"/>
      <c r="C104" s="99"/>
      <c r="D104" s="99"/>
      <c r="E104" s="99"/>
      <c r="F104" s="99"/>
      <c r="G104" s="99"/>
      <c r="H104" s="99"/>
      <c r="I104" s="100"/>
      <c r="J104" s="101"/>
      <c r="K104"/>
      <c r="L104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2:33" s="17" customFormat="1" ht="19" customHeight="1">
      <c r="B105" s="142" t="s">
        <v>210</v>
      </c>
      <c r="C105" s="99"/>
      <c r="D105" s="99"/>
      <c r="E105" s="99"/>
      <c r="F105" s="99"/>
      <c r="G105" s="99"/>
      <c r="H105" s="99"/>
      <c r="I105" s="100"/>
      <c r="J105" s="101"/>
      <c r="K105"/>
      <c r="L105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2:33" ht="19" customHeight="1">
      <c r="B106" s="123" t="s">
        <v>339</v>
      </c>
      <c r="C106" s="123"/>
      <c r="D106" s="123"/>
      <c r="E106" s="123"/>
      <c r="F106" s="123"/>
      <c r="G106" s="123"/>
      <c r="H106" s="175"/>
      <c r="I106" s="91"/>
    </row>
    <row r="107" spans="2:33" ht="19" customHeight="1" thickBot="1">
      <c r="B107" s="123" t="s">
        <v>390</v>
      </c>
      <c r="C107" s="123"/>
      <c r="D107" s="123"/>
      <c r="E107" s="123"/>
      <c r="F107" s="123"/>
      <c r="G107" s="123"/>
      <c r="H107" s="175"/>
      <c r="I107" s="91"/>
    </row>
    <row r="108" spans="2:33" ht="14" customHeight="1">
      <c r="B108" s="142"/>
      <c r="C108" s="123"/>
      <c r="D108" s="301" t="s">
        <v>256</v>
      </c>
      <c r="E108" s="207"/>
      <c r="F108" s="223"/>
      <c r="G108" s="207"/>
      <c r="H108" s="178" t="s">
        <v>383</v>
      </c>
      <c r="I108" s="302">
        <f ca="1">MAX(G64:G83)</f>
        <v>57.912476868970671</v>
      </c>
      <c r="J108" s="91"/>
    </row>
    <row r="109" spans="2:33" ht="14" customHeight="1">
      <c r="B109" s="142"/>
      <c r="C109" s="123"/>
      <c r="D109" s="303" t="s">
        <v>257</v>
      </c>
      <c r="E109" s="308"/>
      <c r="F109" s="309"/>
      <c r="G109" s="308"/>
      <c r="H109" s="179" t="s">
        <v>384</v>
      </c>
      <c r="I109" s="304">
        <f ca="1">MIN(G64:G83)</f>
        <v>42.95959526372981</v>
      </c>
      <c r="J109" s="91"/>
    </row>
    <row r="110" spans="2:33" ht="14" customHeight="1">
      <c r="B110" s="142"/>
      <c r="C110" s="123"/>
      <c r="D110" s="303" t="s">
        <v>258</v>
      </c>
      <c r="E110" s="308"/>
      <c r="F110" s="309"/>
      <c r="G110" s="308"/>
      <c r="H110" s="179" t="s">
        <v>387</v>
      </c>
      <c r="I110" s="304">
        <f ca="1">(I108-I109)</f>
        <v>14.952881605240862</v>
      </c>
      <c r="J110" s="182" t="s">
        <v>261</v>
      </c>
    </row>
    <row r="111" spans="2:33" ht="14" customHeight="1">
      <c r="B111" s="142"/>
      <c r="C111" s="123"/>
      <c r="D111" s="303" t="s">
        <v>259</v>
      </c>
      <c r="E111" s="308"/>
      <c r="F111" s="309"/>
      <c r="G111" s="308"/>
      <c r="H111" s="179" t="s">
        <v>385</v>
      </c>
      <c r="I111" s="305">
        <f>$J$47</f>
        <v>40</v>
      </c>
      <c r="J111" s="182" t="s">
        <v>262</v>
      </c>
    </row>
    <row r="112" spans="2:33" ht="14" customHeight="1" thickBot="1">
      <c r="B112" s="142"/>
      <c r="C112" s="123"/>
      <c r="D112" s="306" t="s">
        <v>260</v>
      </c>
      <c r="E112" s="310"/>
      <c r="F112" s="280"/>
      <c r="G112" s="310"/>
      <c r="H112" s="180" t="s">
        <v>386</v>
      </c>
      <c r="I112" s="307">
        <f ca="1">I110*I111</f>
        <v>598.11526420963446</v>
      </c>
      <c r="J112" s="182" t="s">
        <v>263</v>
      </c>
    </row>
    <row r="113" spans="2:34" ht="19" customHeight="1">
      <c r="B113" s="123" t="s">
        <v>388</v>
      </c>
      <c r="C113" s="123"/>
      <c r="D113" s="123"/>
      <c r="E113" s="172"/>
      <c r="F113" s="123"/>
      <c r="G113" s="148"/>
      <c r="H113" s="102"/>
      <c r="I113" s="91"/>
    </row>
    <row r="114" spans="2:34" ht="19" customHeight="1">
      <c r="B114" s="123" t="s">
        <v>389</v>
      </c>
      <c r="C114" s="123"/>
      <c r="D114" s="123"/>
      <c r="E114" s="172"/>
      <c r="F114" s="123"/>
      <c r="G114" s="148"/>
      <c r="H114" s="102"/>
      <c r="I114" s="91"/>
    </row>
    <row r="115" spans="2:34" s="17" customFormat="1" ht="17" customHeight="1">
      <c r="B115" s="13" t="s">
        <v>189</v>
      </c>
      <c r="C115" s="1"/>
      <c r="D115" s="10"/>
      <c r="E115" s="1"/>
      <c r="F115" s="1"/>
      <c r="G115" s="1"/>
      <c r="H115" s="91"/>
      <c r="I115" s="78"/>
      <c r="J115" s="1"/>
      <c r="K115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2:34" s="17" customFormat="1" ht="17" customHeight="1">
      <c r="B116" s="13" t="s">
        <v>143</v>
      </c>
      <c r="C116" s="1"/>
      <c r="D116" s="10"/>
      <c r="E116" s="1"/>
      <c r="F116" s="1"/>
      <c r="G116" s="1"/>
      <c r="H116" s="91"/>
      <c r="I116" s="78"/>
      <c r="J116" s="1"/>
      <c r="K116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2:34" s="17" customFormat="1" ht="17" customHeight="1">
      <c r="B117" s="13" t="s">
        <v>255</v>
      </c>
      <c r="C117" s="1"/>
      <c r="D117" s="10"/>
      <c r="E117" s="1"/>
      <c r="F117" s="1"/>
      <c r="G117" s="1"/>
      <c r="H117" s="91"/>
      <c r="I117" s="78"/>
      <c r="J117" s="1"/>
      <c r="K117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2:34" s="17" customFormat="1" ht="17" customHeight="1">
      <c r="B118" s="19"/>
      <c r="C118" s="13"/>
      <c r="D118" s="1"/>
      <c r="E118" s="10"/>
      <c r="F118" s="1"/>
      <c r="G118" s="1"/>
      <c r="H118" s="1"/>
      <c r="I118" s="91"/>
      <c r="J118" s="78"/>
      <c r="K118" s="1"/>
      <c r="L118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2:34" s="17" customFormat="1" ht="17" customHeight="1">
      <c r="B119" s="19"/>
      <c r="C119" s="13"/>
      <c r="D119" s="1"/>
      <c r="E119" s="10"/>
      <c r="F119" s="1"/>
      <c r="G119" s="1"/>
      <c r="H119" s="1"/>
      <c r="I119" s="91"/>
      <c r="J119" s="78"/>
      <c r="K119" s="1"/>
      <c r="L119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2:34" s="17" customFormat="1" ht="17" customHeight="1">
      <c r="B120" s="19"/>
      <c r="C120" s="13"/>
      <c r="D120" s="1"/>
      <c r="E120" s="10"/>
      <c r="F120" s="1"/>
      <c r="G120" s="1"/>
      <c r="H120" s="1"/>
      <c r="I120" s="91"/>
      <c r="J120" s="78"/>
      <c r="K120" s="1"/>
      <c r="L120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2:34" s="17" customFormat="1" ht="17" customHeight="1">
      <c r="C121" s="19"/>
      <c r="D121" s="13"/>
      <c r="E121" s="1"/>
      <c r="F121" s="10"/>
      <c r="G121" s="1"/>
      <c r="H121" s="1"/>
      <c r="I121" s="1"/>
      <c r="J121" s="91"/>
      <c r="K121" s="78"/>
      <c r="L121" s="1"/>
      <c r="M12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2:34" s="17" customFormat="1" ht="17" customHeight="1" thickBot="1">
      <c r="B122" s="106"/>
      <c r="C122" s="99"/>
      <c r="D122" s="99"/>
      <c r="E122" s="99"/>
      <c r="F122" s="99"/>
      <c r="G122" s="107" t="s">
        <v>355</v>
      </c>
      <c r="H122" s="99"/>
      <c r="I122" s="100"/>
      <c r="J122" s="101"/>
      <c r="K122"/>
      <c r="L122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2:34" s="105" customFormat="1" ht="17" customHeight="1" thickBot="1">
      <c r="B123" s="106"/>
      <c r="C123" s="134"/>
      <c r="D123" s="108"/>
      <c r="E123" s="108"/>
      <c r="F123" s="108"/>
      <c r="G123" s="109" t="s">
        <v>286</v>
      </c>
      <c r="H123" s="108"/>
      <c r="I123" s="110"/>
      <c r="J123" s="135"/>
      <c r="K123" s="136"/>
      <c r="L123" s="137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2:34" s="105" customFormat="1" ht="17" customHeight="1" thickBot="1">
      <c r="B124" s="106"/>
      <c r="C124" s="128">
        <f ca="1">$I$110</f>
        <v>14.952881605240862</v>
      </c>
      <c r="D124" s="131" t="s">
        <v>393</v>
      </c>
      <c r="E124" s="129"/>
      <c r="F124" s="129"/>
      <c r="G124" s="130">
        <f ca="1">$I$112</f>
        <v>598.11526420963446</v>
      </c>
      <c r="H124" s="112" t="s">
        <v>272</v>
      </c>
      <c r="I124" s="112" t="s">
        <v>272</v>
      </c>
      <c r="J124" s="112" t="s">
        <v>322</v>
      </c>
      <c r="K124" s="113" t="s">
        <v>322</v>
      </c>
      <c r="L124" s="20" t="s">
        <v>322</v>
      </c>
      <c r="M124" s="33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2:34" s="17" customFormat="1" ht="14" customHeight="1">
      <c r="B125" s="19"/>
      <c r="C125" s="111" t="s">
        <v>152</v>
      </c>
      <c r="D125" s="116" t="s">
        <v>237</v>
      </c>
      <c r="E125" s="111" t="s">
        <v>142</v>
      </c>
      <c r="F125" s="111" t="s">
        <v>142</v>
      </c>
      <c r="G125" s="111" t="s">
        <v>323</v>
      </c>
      <c r="H125" s="111" t="s">
        <v>319</v>
      </c>
      <c r="I125" s="111" t="s">
        <v>320</v>
      </c>
      <c r="J125" s="111" t="s">
        <v>34</v>
      </c>
      <c r="K125" s="116" t="s">
        <v>94</v>
      </c>
      <c r="L125" s="116" t="s">
        <v>94</v>
      </c>
      <c r="M125" s="102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2:34" s="17" customFormat="1" ht="14" customHeight="1" thickBot="1">
      <c r="B126" s="127" t="s">
        <v>249</v>
      </c>
      <c r="C126" s="104" t="s">
        <v>147</v>
      </c>
      <c r="D126" s="22" t="s">
        <v>236</v>
      </c>
      <c r="E126" s="104" t="s">
        <v>144</v>
      </c>
      <c r="F126" s="104" t="s">
        <v>141</v>
      </c>
      <c r="G126" s="104" t="s">
        <v>252</v>
      </c>
      <c r="H126" s="104" t="s">
        <v>321</v>
      </c>
      <c r="I126" s="104" t="s">
        <v>321</v>
      </c>
      <c r="J126" s="104" t="s">
        <v>152</v>
      </c>
      <c r="K126" s="22" t="s">
        <v>144</v>
      </c>
      <c r="L126" s="22" t="s">
        <v>187</v>
      </c>
      <c r="M126" s="102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2:34" s="17" customFormat="1" ht="14" customHeight="1" thickBot="1">
      <c r="B127" s="66">
        <v>1</v>
      </c>
      <c r="C127" s="18">
        <f t="shared" ref="C127:C135" si="19">L64</f>
        <v>-5.0365558885278006</v>
      </c>
      <c r="D127" s="98" t="str">
        <f t="shared" ref="D127:D146" si="20">IF(L64&lt;0,"Sell","Buy")</f>
        <v>Sell</v>
      </c>
      <c r="E127" s="97">
        <f t="shared" ref="E127:E146" si="21">$J$47</f>
        <v>40</v>
      </c>
      <c r="F127" s="23">
        <f>-C127*E127</f>
        <v>201.46223554111202</v>
      </c>
      <c r="G127" s="23">
        <f ca="1">G124+F127</f>
        <v>799.57749975074648</v>
      </c>
      <c r="H127" s="77">
        <f t="shared" ref="H127:H146" si="22">IF(C127&gt;0,$J$47-$F$45*K64,E64)</f>
        <v>87.077743790840032</v>
      </c>
      <c r="I127" s="77">
        <f t="shared" ref="I127:I146" si="23">IF(C127&gt;0,F64,$J$47-$F$46*J64)</f>
        <v>16.461128104579984</v>
      </c>
      <c r="J127" s="77">
        <f>((H127-I127)/(-$F$45+$F$46))</f>
        <v>58.847179738550032</v>
      </c>
      <c r="K127" s="97">
        <f>H127+$F$45*J127</f>
        <v>40</v>
      </c>
      <c r="L127" s="126">
        <f>J127*K127</f>
        <v>2353.8871895420011</v>
      </c>
      <c r="M127" s="102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2:34" s="17" customFormat="1" ht="14" customHeight="1" thickBot="1">
      <c r="B128" s="66">
        <f>B127+1</f>
        <v>2</v>
      </c>
      <c r="C128" s="18">
        <f t="shared" si="19"/>
        <v>5.3271049769500678</v>
      </c>
      <c r="D128" s="98" t="str">
        <f t="shared" si="20"/>
        <v>Buy</v>
      </c>
      <c r="E128" s="97">
        <f t="shared" si="21"/>
        <v>40</v>
      </c>
      <c r="F128" s="23">
        <f t="shared" ref="F128:F146" si="24">-C128*E128</f>
        <v>-213.08419907800271</v>
      </c>
      <c r="G128" s="23">
        <f ca="1">G127+F128</f>
        <v>586.49330067274377</v>
      </c>
      <c r="H128" s="77">
        <f t="shared" si="22"/>
        <v>81.023986272106413</v>
      </c>
      <c r="I128" s="77">
        <f t="shared" si="23"/>
        <v>19.488006863946794</v>
      </c>
      <c r="J128" s="77">
        <f t="shared" ref="J128:J146" si="25">((H128-I128)/(-$F$45+$F$46))</f>
        <v>51.279982840133009</v>
      </c>
      <c r="K128" s="97">
        <f t="shared" ref="K128:K146" si="26">H128+$F$45*J128</f>
        <v>40</v>
      </c>
      <c r="L128" s="126">
        <f t="shared" ref="L128:L146" si="27">J128*K128</f>
        <v>2051.1993136053202</v>
      </c>
      <c r="M128" s="102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2:33" s="17" customFormat="1" ht="14" customHeight="1" thickBot="1">
      <c r="B129" s="66">
        <f t="shared" ref="B129:B135" si="28">B128+1</f>
        <v>3</v>
      </c>
      <c r="C129" s="18">
        <f t="shared" ca="1" si="19"/>
        <v>-5.1485762424506873</v>
      </c>
      <c r="D129" s="98" t="str">
        <f t="shared" ca="1" si="20"/>
        <v>Sell</v>
      </c>
      <c r="E129" s="97">
        <f t="shared" si="21"/>
        <v>40</v>
      </c>
      <c r="F129" s="23">
        <f t="shared" ca="1" si="24"/>
        <v>205.94304969802749</v>
      </c>
      <c r="G129" s="23">
        <f t="shared" ref="G129:G135" ca="1" si="29">G128+F129</f>
        <v>792.43635037077127</v>
      </c>
      <c r="H129" s="77">
        <f t="shared" ca="1" si="22"/>
        <v>85.247464911456618</v>
      </c>
      <c r="I129" s="77">
        <f t="shared" ca="1" si="23"/>
        <v>17.376267544271691</v>
      </c>
      <c r="J129" s="77">
        <f t="shared" ca="1" si="25"/>
        <v>56.559331139320754</v>
      </c>
      <c r="K129" s="97">
        <f t="shared" ca="1" si="26"/>
        <v>40.000000000000014</v>
      </c>
      <c r="L129" s="126">
        <f t="shared" ca="1" si="27"/>
        <v>2262.3732455728309</v>
      </c>
      <c r="M129" s="102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2:33" s="17" customFormat="1" ht="14" customHeight="1" thickBot="1">
      <c r="B130" s="66">
        <f t="shared" si="28"/>
        <v>4</v>
      </c>
      <c r="C130" s="18">
        <f t="shared" ca="1" si="19"/>
        <v>5.0291750227441057</v>
      </c>
      <c r="D130" s="98" t="str">
        <f t="shared" ca="1" si="20"/>
        <v>Buy</v>
      </c>
      <c r="E130" s="97">
        <f t="shared" si="21"/>
        <v>40</v>
      </c>
      <c r="F130" s="23">
        <f t="shared" ca="1" si="24"/>
        <v>-201.16700090976423</v>
      </c>
      <c r="G130" s="23">
        <f t="shared" ca="1" si="29"/>
        <v>591.2693494610071</v>
      </c>
      <c r="H130" s="77">
        <f t="shared" ca="1" si="22"/>
        <v>82.046917999645032</v>
      </c>
      <c r="I130" s="77">
        <f t="shared" ca="1" si="23"/>
        <v>18.976541000177484</v>
      </c>
      <c r="J130" s="77">
        <f t="shared" ca="1" si="25"/>
        <v>52.55864749955628</v>
      </c>
      <c r="K130" s="97">
        <f t="shared" ca="1" si="26"/>
        <v>40.000000000000007</v>
      </c>
      <c r="L130" s="126">
        <f t="shared" ca="1" si="27"/>
        <v>2102.3458999822515</v>
      </c>
      <c r="M130" s="102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2:33" s="17" customFormat="1" ht="14" customHeight="1" thickBot="1">
      <c r="B131" s="66">
        <f t="shared" si="28"/>
        <v>5</v>
      </c>
      <c r="C131" s="18">
        <f t="shared" ca="1" si="19"/>
        <v>-1.9086960222881331</v>
      </c>
      <c r="D131" s="98" t="str">
        <f t="shared" ca="1" si="20"/>
        <v>Sell</v>
      </c>
      <c r="E131" s="97">
        <f t="shared" si="21"/>
        <v>40</v>
      </c>
      <c r="F131" s="23">
        <f t="shared" ca="1" si="24"/>
        <v>76.347840891525323</v>
      </c>
      <c r="G131" s="23">
        <f t="shared" ca="1" si="29"/>
        <v>667.61719035253236</v>
      </c>
      <c r="H131" s="77">
        <f t="shared" ca="1" si="22"/>
        <v>82.971688783107354</v>
      </c>
      <c r="I131" s="77">
        <f t="shared" ca="1" si="23"/>
        <v>18.514155608446323</v>
      </c>
      <c r="J131" s="77">
        <f t="shared" ca="1" si="25"/>
        <v>53.714610978884181</v>
      </c>
      <c r="K131" s="97">
        <f t="shared" ca="1" si="26"/>
        <v>40.000000000000007</v>
      </c>
      <c r="L131" s="126">
        <f t="shared" ca="1" si="27"/>
        <v>2148.5844391553678</v>
      </c>
      <c r="M131" s="102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2:33" s="17" customFormat="1" ht="14" customHeight="1" thickBot="1">
      <c r="B132" s="66">
        <f t="shared" si="28"/>
        <v>6</v>
      </c>
      <c r="C132" s="18">
        <f t="shared" ca="1" si="19"/>
        <v>-4.9649002538588931</v>
      </c>
      <c r="D132" s="98" t="str">
        <f t="shared" ca="1" si="20"/>
        <v>Sell</v>
      </c>
      <c r="E132" s="97">
        <f t="shared" si="21"/>
        <v>40</v>
      </c>
      <c r="F132" s="23">
        <f t="shared" ca="1" si="24"/>
        <v>198.59601015435572</v>
      </c>
      <c r="G132" s="23">
        <f t="shared" ca="1" si="29"/>
        <v>866.21320050688814</v>
      </c>
      <c r="H132" s="77">
        <f t="shared" ca="1" si="22"/>
        <v>86.263631844929265</v>
      </c>
      <c r="I132" s="77">
        <f t="shared" ca="1" si="23"/>
        <v>16.868184077535368</v>
      </c>
      <c r="J132" s="77">
        <f t="shared" ca="1" si="25"/>
        <v>57.829539806161577</v>
      </c>
      <c r="K132" s="97">
        <f t="shared" ca="1" si="26"/>
        <v>40</v>
      </c>
      <c r="L132" s="126">
        <f t="shared" ca="1" si="27"/>
        <v>2313.181592246463</v>
      </c>
      <c r="M132" s="102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2:33" s="17" customFormat="1" ht="14" customHeight="1" thickBot="1">
      <c r="B133" s="66">
        <f t="shared" si="28"/>
        <v>7</v>
      </c>
      <c r="C133" s="18">
        <f t="shared" ca="1" si="19"/>
        <v>-7.3016558727018719</v>
      </c>
      <c r="D133" s="98" t="str">
        <f t="shared" ca="1" si="20"/>
        <v>Sell</v>
      </c>
      <c r="E133" s="97">
        <f t="shared" si="21"/>
        <v>40</v>
      </c>
      <c r="F133" s="23">
        <f t="shared" ca="1" si="24"/>
        <v>292.06623490807488</v>
      </c>
      <c r="G133" s="23">
        <f t="shared" ca="1" si="29"/>
        <v>1158.279435414963</v>
      </c>
      <c r="H133" s="77">
        <f t="shared" ca="1" si="22"/>
        <v>83.150978644891623</v>
      </c>
      <c r="I133" s="77">
        <f t="shared" ca="1" si="23"/>
        <v>18.424510677554188</v>
      </c>
      <c r="J133" s="77">
        <f t="shared" ca="1" si="25"/>
        <v>53.938723306114525</v>
      </c>
      <c r="K133" s="97">
        <f t="shared" ca="1" si="26"/>
        <v>40</v>
      </c>
      <c r="L133" s="126">
        <f t="shared" ca="1" si="27"/>
        <v>2157.548932244581</v>
      </c>
      <c r="M133" s="102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2:33" s="17" customFormat="1" ht="14" customHeight="1" thickBot="1">
      <c r="B134" s="66">
        <f t="shared" si="28"/>
        <v>8</v>
      </c>
      <c r="C134" s="18">
        <f t="shared" ca="1" si="19"/>
        <v>-0.21194945453081004</v>
      </c>
      <c r="D134" s="98" t="str">
        <f t="shared" ca="1" si="20"/>
        <v>Sell</v>
      </c>
      <c r="E134" s="97">
        <f t="shared" si="21"/>
        <v>40</v>
      </c>
      <c r="F134" s="23">
        <f t="shared" ca="1" si="24"/>
        <v>8.4779781812324018</v>
      </c>
      <c r="G134" s="23">
        <f t="shared" ca="1" si="29"/>
        <v>1166.7574135961954</v>
      </c>
      <c r="H134" s="77">
        <f t="shared" ca="1" si="22"/>
        <v>79.458247197249221</v>
      </c>
      <c r="I134" s="77">
        <f t="shared" ca="1" si="23"/>
        <v>20.270876401375389</v>
      </c>
      <c r="J134" s="77">
        <f t="shared" ca="1" si="25"/>
        <v>49.32280899656152</v>
      </c>
      <c r="K134" s="97">
        <f t="shared" ca="1" si="26"/>
        <v>40</v>
      </c>
      <c r="L134" s="126">
        <f t="shared" ca="1" si="27"/>
        <v>1972.9123598624608</v>
      </c>
      <c r="M134" s="102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2:33" s="17" customFormat="1" ht="14" customHeight="1" thickBot="1">
      <c r="B135" s="66">
        <f t="shared" si="28"/>
        <v>9</v>
      </c>
      <c r="C135" s="18">
        <f t="shared" ca="1" si="19"/>
        <v>8.7170667525637313</v>
      </c>
      <c r="D135" s="98" t="str">
        <f t="shared" ca="1" si="20"/>
        <v>Buy</v>
      </c>
      <c r="E135" s="97">
        <f t="shared" si="21"/>
        <v>40</v>
      </c>
      <c r="F135" s="23">
        <f t="shared" ca="1" si="24"/>
        <v>-348.68267010254925</v>
      </c>
      <c r="G135" s="23">
        <f t="shared" ca="1" si="29"/>
        <v>818.07474349364611</v>
      </c>
      <c r="H135" s="77">
        <f t="shared" ca="1" si="22"/>
        <v>82.81564851825749</v>
      </c>
      <c r="I135" s="77">
        <f t="shared" ca="1" si="23"/>
        <v>18.592175740871255</v>
      </c>
      <c r="J135" s="77">
        <f t="shared" ca="1" si="25"/>
        <v>53.519560647821855</v>
      </c>
      <c r="K135" s="97">
        <f t="shared" ca="1" si="26"/>
        <v>40</v>
      </c>
      <c r="L135" s="126">
        <f t="shared" ca="1" si="27"/>
        <v>2140.7824259128743</v>
      </c>
      <c r="M135" s="102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2:33" s="17" customFormat="1" ht="14" customHeight="1" thickBot="1">
      <c r="B136" s="66">
        <v>10</v>
      </c>
      <c r="C136" s="18">
        <f t="shared" ref="C136:C145" ca="1" si="30">L73</f>
        <v>-3.001667785856398</v>
      </c>
      <c r="D136" s="98" t="str">
        <f t="shared" ca="1" si="20"/>
        <v>Sell</v>
      </c>
      <c r="E136" s="97">
        <f t="shared" si="21"/>
        <v>40</v>
      </c>
      <c r="F136" s="23">
        <f t="shared" ca="1" si="24"/>
        <v>120.06671143425592</v>
      </c>
      <c r="G136" s="23">
        <f t="shared" ref="G136:G146" ca="1" si="31">G135+F136</f>
        <v>938.14145492790203</v>
      </c>
      <c r="H136" s="77">
        <f t="shared" ca="1" si="22"/>
        <v>83.033106038744506</v>
      </c>
      <c r="I136" s="77">
        <f t="shared" ca="1" si="23"/>
        <v>18.483446980627747</v>
      </c>
      <c r="J136" s="77">
        <f t="shared" ref="J136:J145" ca="1" si="32">((H136-I136)/(-$F$45+$F$46))</f>
        <v>53.791382548430626</v>
      </c>
      <c r="K136" s="97">
        <f t="shared" ref="K136:K145" ca="1" si="33">H136+$F$45*J136</f>
        <v>40</v>
      </c>
      <c r="L136" s="126">
        <f t="shared" ca="1" si="27"/>
        <v>2151.655301937225</v>
      </c>
      <c r="M136" s="102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2:33" s="17" customFormat="1" ht="14" customHeight="1" thickBot="1">
      <c r="B137" s="66">
        <v>11</v>
      </c>
      <c r="C137" s="18">
        <f t="shared" ca="1" si="30"/>
        <v>-8.1731226839159987</v>
      </c>
      <c r="D137" s="98" t="str">
        <f t="shared" ca="1" si="20"/>
        <v>Sell</v>
      </c>
      <c r="E137" s="97">
        <f t="shared" si="21"/>
        <v>40</v>
      </c>
      <c r="F137" s="23">
        <f t="shared" ca="1" si="24"/>
        <v>326.92490735663995</v>
      </c>
      <c r="G137" s="23">
        <f t="shared" ca="1" si="31"/>
        <v>1265.066362284542</v>
      </c>
      <c r="H137" s="77">
        <f t="shared" ca="1" si="22"/>
        <v>83.783157055483642</v>
      </c>
      <c r="I137" s="77">
        <f t="shared" ca="1" si="23"/>
        <v>18.108421472258179</v>
      </c>
      <c r="J137" s="77">
        <f t="shared" ca="1" si="32"/>
        <v>54.728946319354549</v>
      </c>
      <c r="K137" s="97">
        <f t="shared" ca="1" si="33"/>
        <v>40</v>
      </c>
      <c r="L137" s="126">
        <f t="shared" ca="1" si="27"/>
        <v>2189.1578527741822</v>
      </c>
      <c r="M137" s="102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2:33" s="17" customFormat="1" ht="14" customHeight="1" thickBot="1">
      <c r="B138" s="66">
        <v>12</v>
      </c>
      <c r="C138" s="18">
        <f t="shared" ca="1" si="30"/>
        <v>9.4700271980750088</v>
      </c>
      <c r="D138" s="98" t="str">
        <f t="shared" ca="1" si="20"/>
        <v>Buy</v>
      </c>
      <c r="E138" s="97">
        <f t="shared" si="21"/>
        <v>40</v>
      </c>
      <c r="F138" s="23">
        <f t="shared" ca="1" si="24"/>
        <v>-378.80108792300035</v>
      </c>
      <c r="G138" s="23">
        <f t="shared" ca="1" si="31"/>
        <v>886.26527436154174</v>
      </c>
      <c r="H138" s="77">
        <f t="shared" ca="1" si="22"/>
        <v>82.511659060458982</v>
      </c>
      <c r="I138" s="77">
        <f t="shared" ca="1" si="23"/>
        <v>18.744170469770506</v>
      </c>
      <c r="J138" s="77">
        <f t="shared" ca="1" si="32"/>
        <v>53.13957382557372</v>
      </c>
      <c r="K138" s="97">
        <f t="shared" ca="1" si="33"/>
        <v>40</v>
      </c>
      <c r="L138" s="126">
        <f t="shared" ca="1" si="27"/>
        <v>2125.5829530229489</v>
      </c>
      <c r="M138" s="102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2:33" s="17" customFormat="1" ht="14" customHeight="1" thickBot="1">
      <c r="B139" s="66">
        <v>13</v>
      </c>
      <c r="C139" s="18">
        <f t="shared" ca="1" si="30"/>
        <v>8.8223910700855726</v>
      </c>
      <c r="D139" s="98" t="str">
        <f t="shared" ca="1" si="20"/>
        <v>Buy</v>
      </c>
      <c r="E139" s="97">
        <f t="shared" si="21"/>
        <v>40</v>
      </c>
      <c r="F139" s="23">
        <f t="shared" ca="1" si="24"/>
        <v>-352.8956428034229</v>
      </c>
      <c r="G139" s="23">
        <f t="shared" ca="1" si="31"/>
        <v>533.36963155811884</v>
      </c>
      <c r="H139" s="77">
        <f t="shared" ca="1" si="22"/>
        <v>80.963160574338275</v>
      </c>
      <c r="I139" s="77">
        <f t="shared" ca="1" si="23"/>
        <v>19.518419712830863</v>
      </c>
      <c r="J139" s="77">
        <f t="shared" ca="1" si="32"/>
        <v>51.203950717922837</v>
      </c>
      <c r="K139" s="97">
        <f t="shared" ca="1" si="33"/>
        <v>40</v>
      </c>
      <c r="L139" s="126">
        <f t="shared" ca="1" si="27"/>
        <v>2048.1580287169136</v>
      </c>
      <c r="M139" s="102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2:33" s="17" customFormat="1" ht="14" customHeight="1" thickBot="1">
      <c r="B140" s="66">
        <v>14</v>
      </c>
      <c r="C140" s="18">
        <f t="shared" ca="1" si="30"/>
        <v>12.074535597000349</v>
      </c>
      <c r="D140" s="98" t="str">
        <f t="shared" ca="1" si="20"/>
        <v>Buy</v>
      </c>
      <c r="E140" s="97">
        <f t="shared" si="21"/>
        <v>40</v>
      </c>
      <c r="F140" s="23">
        <f t="shared" ca="1" si="24"/>
        <v>-482.98142388001395</v>
      </c>
      <c r="G140" s="23">
        <f t="shared" ca="1" si="31"/>
        <v>50.388207678104891</v>
      </c>
      <c r="H140" s="77">
        <f t="shared" ca="1" si="22"/>
        <v>81.848867982786899</v>
      </c>
      <c r="I140" s="77">
        <f t="shared" ca="1" si="23"/>
        <v>19.07556600860655</v>
      </c>
      <c r="J140" s="77">
        <f t="shared" ca="1" si="32"/>
        <v>52.311084978483613</v>
      </c>
      <c r="K140" s="97">
        <f t="shared" ca="1" si="33"/>
        <v>40.000000000000007</v>
      </c>
      <c r="L140" s="126">
        <f t="shared" ca="1" si="27"/>
        <v>2092.4433991393448</v>
      </c>
      <c r="M140" s="102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2:33" s="17" customFormat="1" ht="14" customHeight="1" thickBot="1">
      <c r="B141" s="66">
        <v>15</v>
      </c>
      <c r="C141" s="18">
        <f t="shared" ca="1" si="30"/>
        <v>-8.997419188492124</v>
      </c>
      <c r="D141" s="98" t="str">
        <f t="shared" ca="1" si="20"/>
        <v>Sell</v>
      </c>
      <c r="E141" s="97">
        <f t="shared" si="21"/>
        <v>40</v>
      </c>
      <c r="F141" s="23">
        <f t="shared" ca="1" si="24"/>
        <v>359.89676753968496</v>
      </c>
      <c r="G141" s="23">
        <f t="shared" ca="1" si="31"/>
        <v>410.28497521778985</v>
      </c>
      <c r="H141" s="77">
        <f t="shared" ca="1" si="22"/>
        <v>87.545686262518032</v>
      </c>
      <c r="I141" s="77">
        <f t="shared" ca="1" si="23"/>
        <v>16.227156868740984</v>
      </c>
      <c r="J141" s="77">
        <f t="shared" ca="1" si="32"/>
        <v>59.432107828147537</v>
      </c>
      <c r="K141" s="97">
        <f t="shared" ca="1" si="33"/>
        <v>40</v>
      </c>
      <c r="L141" s="126">
        <f t="shared" ca="1" si="27"/>
        <v>2377.2843131259015</v>
      </c>
      <c r="M141" s="102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2:33" s="17" customFormat="1" ht="14" customHeight="1" thickBot="1">
      <c r="B142" s="66">
        <v>16</v>
      </c>
      <c r="C142" s="18">
        <f t="shared" ca="1" si="30"/>
        <v>-3.2725004100573116</v>
      </c>
      <c r="D142" s="98" t="str">
        <f t="shared" ca="1" si="20"/>
        <v>Sell</v>
      </c>
      <c r="E142" s="97">
        <f t="shared" si="21"/>
        <v>40</v>
      </c>
      <c r="F142" s="23">
        <f t="shared" ca="1" si="24"/>
        <v>130.90001640229247</v>
      </c>
      <c r="G142" s="23">
        <f t="shared" ca="1" si="31"/>
        <v>541.18499162008231</v>
      </c>
      <c r="H142" s="77">
        <f t="shared" ca="1" si="22"/>
        <v>81.527934488992955</v>
      </c>
      <c r="I142" s="77">
        <f t="shared" ca="1" si="23"/>
        <v>19.236032755503523</v>
      </c>
      <c r="J142" s="77">
        <f t="shared" ca="1" si="32"/>
        <v>51.909918111241183</v>
      </c>
      <c r="K142" s="97">
        <f t="shared" ca="1" si="33"/>
        <v>40.000000000000007</v>
      </c>
      <c r="L142" s="126">
        <f t="shared" ca="1" si="27"/>
        <v>2076.3967244496475</v>
      </c>
      <c r="M142" s="102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2:33" s="17" customFormat="1" ht="14" customHeight="1" thickBot="1">
      <c r="B143" s="66">
        <v>17</v>
      </c>
      <c r="C143" s="18">
        <f t="shared" ca="1" si="30"/>
        <v>0.87376597680864165</v>
      </c>
      <c r="D143" s="98" t="str">
        <f t="shared" ca="1" si="20"/>
        <v>Buy</v>
      </c>
      <c r="E143" s="97">
        <f t="shared" si="21"/>
        <v>40</v>
      </c>
      <c r="F143" s="23">
        <f t="shared" ca="1" si="24"/>
        <v>-34.950639072345666</v>
      </c>
      <c r="G143" s="23">
        <f t="shared" ca="1" si="31"/>
        <v>506.23435254773665</v>
      </c>
      <c r="H143" s="77">
        <f t="shared" ca="1" si="22"/>
        <v>82.477926609205497</v>
      </c>
      <c r="I143" s="77">
        <f t="shared" ca="1" si="23"/>
        <v>18.761036695397255</v>
      </c>
      <c r="J143" s="77">
        <f t="shared" ca="1" si="32"/>
        <v>53.097408261506864</v>
      </c>
      <c r="K143" s="97">
        <f t="shared" ca="1" si="33"/>
        <v>40</v>
      </c>
      <c r="L143" s="126">
        <f t="shared" ca="1" si="27"/>
        <v>2123.8963304602744</v>
      </c>
      <c r="M143" s="102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2:33" s="17" customFormat="1" ht="14" customHeight="1" thickBot="1">
      <c r="B144" s="66">
        <v>18</v>
      </c>
      <c r="C144" s="18">
        <f t="shared" ca="1" si="30"/>
        <v>-10.558593575619476</v>
      </c>
      <c r="D144" s="98" t="str">
        <f t="shared" ca="1" si="20"/>
        <v>Sell</v>
      </c>
      <c r="E144" s="97">
        <f t="shared" si="21"/>
        <v>40</v>
      </c>
      <c r="F144" s="23">
        <f t="shared" ca="1" si="24"/>
        <v>422.34374302477903</v>
      </c>
      <c r="G144" s="23">
        <f t="shared" ca="1" si="31"/>
        <v>928.57809557251562</v>
      </c>
      <c r="H144" s="77">
        <f t="shared" ca="1" si="22"/>
        <v>85.9956294084391</v>
      </c>
      <c r="I144" s="77">
        <f t="shared" ca="1" si="23"/>
        <v>17.00218529578045</v>
      </c>
      <c r="J144" s="77">
        <f t="shared" ca="1" si="32"/>
        <v>57.494536760548868</v>
      </c>
      <c r="K144" s="97">
        <f t="shared" ca="1" si="33"/>
        <v>40</v>
      </c>
      <c r="L144" s="126">
        <f t="shared" ca="1" si="27"/>
        <v>2299.7814704219545</v>
      </c>
      <c r="M144" s="102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2:33" s="17" customFormat="1" ht="14" customHeight="1" thickBot="1">
      <c r="B145" s="66">
        <v>19</v>
      </c>
      <c r="C145" s="18">
        <f t="shared" ca="1" si="30"/>
        <v>8.0955471517408881</v>
      </c>
      <c r="D145" s="98" t="str">
        <f t="shared" ca="1" si="20"/>
        <v>Buy</v>
      </c>
      <c r="E145" s="97">
        <f t="shared" si="21"/>
        <v>40</v>
      </c>
      <c r="F145" s="23">
        <f t="shared" ca="1" si="24"/>
        <v>-323.82188606963553</v>
      </c>
      <c r="G145" s="23">
        <f t="shared" ca="1" si="31"/>
        <v>604.7562095028801</v>
      </c>
      <c r="H145" s="77">
        <f t="shared" ca="1" si="22"/>
        <v>78.685301358578997</v>
      </c>
      <c r="I145" s="77">
        <f t="shared" ca="1" si="23"/>
        <v>20.657349320710502</v>
      </c>
      <c r="J145" s="77">
        <f t="shared" ca="1" si="32"/>
        <v>48.356626698223735</v>
      </c>
      <c r="K145" s="97">
        <f t="shared" ca="1" si="33"/>
        <v>40.000000000000007</v>
      </c>
      <c r="L145" s="126">
        <f t="shared" ca="1" si="27"/>
        <v>1934.2650679289497</v>
      </c>
      <c r="M145" s="102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2:33" s="17" customFormat="1" ht="14" customHeight="1" thickBot="1">
      <c r="B146" s="66">
        <v>20</v>
      </c>
      <c r="C146" s="18">
        <f ca="1">L83</f>
        <v>-6.2212610848118644</v>
      </c>
      <c r="D146" s="98" t="str">
        <f t="shared" ca="1" si="20"/>
        <v>Sell</v>
      </c>
      <c r="E146" s="97">
        <f t="shared" si="21"/>
        <v>40</v>
      </c>
      <c r="F146" s="23">
        <f t="shared" ca="1" si="24"/>
        <v>248.85044339247457</v>
      </c>
      <c r="G146" s="23">
        <f t="shared" ca="1" si="31"/>
        <v>853.60665289535473</v>
      </c>
      <c r="H146" s="77">
        <f t="shared" ca="1" si="22"/>
        <v>87.98898445112637</v>
      </c>
      <c r="I146" s="77">
        <f t="shared" ca="1" si="23"/>
        <v>16.005507774436815</v>
      </c>
      <c r="J146" s="77">
        <f t="shared" ca="1" si="25"/>
        <v>59.986230563907945</v>
      </c>
      <c r="K146" s="97">
        <f t="shared" ca="1" si="26"/>
        <v>40.000000000000014</v>
      </c>
      <c r="L146" s="132">
        <f t="shared" ca="1" si="27"/>
        <v>2399.4492225563185</v>
      </c>
      <c r="M146" s="102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2:33" s="17" customFormat="1" ht="14" customHeight="1" thickBot="1">
      <c r="B147" s="127" t="s">
        <v>251</v>
      </c>
      <c r="C147" s="263">
        <f ca="1">AVERAGE(C127:C146)</f>
        <v>-0.31936423585715018</v>
      </c>
      <c r="D147" s="264"/>
      <c r="E147" s="265"/>
      <c r="F147" s="152">
        <f ca="1">AVERAGE(F127:F146)</f>
        <v>12.774569434286013</v>
      </c>
      <c r="G147" s="152">
        <f ca="1">AVERAGE(G127:G146)</f>
        <v>748.22973458930312</v>
      </c>
      <c r="H147" s="266">
        <f ca="1">AVERAGE(H127:H146)</f>
        <v>83.32088606265782</v>
      </c>
      <c r="I147" s="266">
        <f ca="1">AVERAGE(I127:I146)</f>
        <v>18.33955696867109</v>
      </c>
      <c r="J147" s="266">
        <f ca="1">AVERAGE(J127:J146)</f>
        <v>54.151107578322254</v>
      </c>
      <c r="K147" s="264"/>
      <c r="L147" s="151">
        <f ca="1">AVERAGE(L127:L146)</f>
        <v>2166.0443031328905</v>
      </c>
      <c r="M147" s="102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2:33" s="17" customFormat="1" ht="14" customHeight="1" thickBot="1">
      <c r="B148" s="127" t="s">
        <v>396</v>
      </c>
      <c r="C148" s="265">
        <f ca="1">STDEV(C127:C146)</f>
        <v>7.1023262404584449</v>
      </c>
      <c r="D148" s="265"/>
      <c r="E148" s="265"/>
      <c r="F148" s="152">
        <f ca="1">STDEV(F127:F146)</f>
        <v>284.09304961833777</v>
      </c>
      <c r="G148" s="152">
        <f ca="1">STDEV(G127:G146)</f>
        <v>286.46920446466436</v>
      </c>
      <c r="H148" s="267">
        <f ca="1">STDEV(H127:H146)</f>
        <v>2.61166948992549</v>
      </c>
      <c r="I148" s="267">
        <f ca="1">STDEV(I127:I146)</f>
        <v>1.305834744962745</v>
      </c>
      <c r="J148" s="267">
        <f ca="1">STDEV(J127:J146)</f>
        <v>3.2645868624068624</v>
      </c>
      <c r="K148" s="264"/>
      <c r="L148" s="152">
        <f ca="1">STDEV(L127:L146)</f>
        <v>130.5834744962745</v>
      </c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2:33" s="17" customFormat="1" ht="14" customHeight="1" thickBot="1">
      <c r="B149" s="127" t="s">
        <v>395</v>
      </c>
      <c r="C149" s="265">
        <f ca="1">C148/C147</f>
        <v>-22.238953029278065</v>
      </c>
      <c r="D149" s="268"/>
      <c r="E149" s="268"/>
      <c r="F149" s="267">
        <f ca="1">F148/F147</f>
        <v>22.238953029278054</v>
      </c>
      <c r="G149" s="267">
        <f ca="1">G148/G147</f>
        <v>0.38286263058217651</v>
      </c>
      <c r="H149" s="267">
        <f ca="1">H148/H147</f>
        <v>3.1344715753040583E-2</v>
      </c>
      <c r="I149" s="267">
        <f ca="1">I148/I147</f>
        <v>7.1203178309784856E-2</v>
      </c>
      <c r="J149" s="267">
        <f ca="1">J148/J147</f>
        <v>6.0286612931879167E-2</v>
      </c>
      <c r="K149" s="269"/>
      <c r="L149" s="174">
        <f ca="1">L148/L147</f>
        <v>6.028661293187916E-2</v>
      </c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2:33" ht="17" customHeight="1">
      <c r="B150" s="65"/>
      <c r="C150" s="13"/>
      <c r="D150" s="1"/>
      <c r="E150" s="133" t="s">
        <v>398</v>
      </c>
      <c r="F150" s="1"/>
      <c r="J150" s="133" t="s">
        <v>397</v>
      </c>
    </row>
    <row r="151" spans="2:33">
      <c r="B151" s="65"/>
      <c r="C151" s="13"/>
      <c r="D151" s="1"/>
      <c r="E151" s="10"/>
      <c r="F151" s="1"/>
    </row>
    <row r="152" spans="2:33">
      <c r="B152" s="65"/>
      <c r="C152" s="13"/>
      <c r="D152" s="1"/>
      <c r="E152" s="10"/>
      <c r="F152" s="1"/>
    </row>
    <row r="153" spans="2:33">
      <c r="B153" s="65"/>
      <c r="C153" s="13"/>
      <c r="D153" s="1"/>
      <c r="E153" s="10"/>
      <c r="F153" s="1"/>
    </row>
    <row r="154" spans="2:33">
      <c r="B154" s="65"/>
      <c r="C154" s="13"/>
      <c r="D154" s="1"/>
      <c r="E154" s="10"/>
      <c r="F154" s="1"/>
    </row>
    <row r="155" spans="2:33">
      <c r="B155" s="65"/>
      <c r="C155" s="13"/>
      <c r="D155" s="1"/>
      <c r="E155" s="10"/>
      <c r="F155" s="1"/>
    </row>
    <row r="156" spans="2:33">
      <c r="B156" s="65"/>
      <c r="C156" s="13"/>
      <c r="D156" s="1"/>
      <c r="E156" s="10"/>
      <c r="F156" s="1"/>
    </row>
    <row r="157" spans="2:33">
      <c r="B157" s="65"/>
      <c r="C157" s="13"/>
      <c r="D157" s="1"/>
      <c r="E157" s="10"/>
      <c r="F157" s="1"/>
    </row>
    <row r="158" spans="2:33">
      <c r="B158" s="65"/>
      <c r="C158" s="13"/>
      <c r="D158" s="1"/>
      <c r="E158" s="10"/>
      <c r="F158" s="1"/>
    </row>
    <row r="159" spans="2:33">
      <c r="B159" s="65"/>
      <c r="C159" s="13"/>
      <c r="D159" s="1"/>
      <c r="E159" s="10"/>
      <c r="F159" s="1"/>
    </row>
    <row r="160" spans="2:33">
      <c r="B160" s="65"/>
      <c r="C160" s="13"/>
      <c r="D160" s="1"/>
      <c r="E160" s="10"/>
      <c r="F160" s="1"/>
    </row>
    <row r="161" spans="2:10">
      <c r="B161" s="65"/>
      <c r="C161" s="13"/>
      <c r="D161" s="1"/>
      <c r="E161" s="10"/>
      <c r="F161" s="1"/>
    </row>
    <row r="162" spans="2:10">
      <c r="B162" s="65"/>
      <c r="C162" s="13"/>
      <c r="D162" s="1"/>
      <c r="E162" s="10"/>
      <c r="F162" s="1"/>
    </row>
    <row r="163" spans="2:10" ht="17" customHeight="1">
      <c r="B163" s="65"/>
      <c r="C163" s="13"/>
      <c r="D163" s="1"/>
      <c r="E163" s="2" t="s">
        <v>345</v>
      </c>
      <c r="F163" s="1"/>
      <c r="J163" s="2" t="s">
        <v>346</v>
      </c>
    </row>
    <row r="164" spans="2:10" ht="17" customHeight="1">
      <c r="B164" s="65"/>
      <c r="C164" s="13"/>
      <c r="D164" s="1"/>
      <c r="E164" s="10"/>
      <c r="F164" s="1"/>
    </row>
    <row r="165" spans="2:10" ht="17" customHeight="1">
      <c r="B165" s="65"/>
      <c r="C165" s="13"/>
      <c r="D165" s="1"/>
      <c r="E165" s="10"/>
      <c r="F165" s="1"/>
    </row>
    <row r="166" spans="2:10" ht="17" customHeight="1">
      <c r="B166" s="65"/>
      <c r="C166" s="13"/>
      <c r="D166" s="1"/>
      <c r="E166" s="10"/>
      <c r="F166" s="1"/>
    </row>
    <row r="167" spans="2:10" ht="17" customHeight="1">
      <c r="B167" s="65"/>
      <c r="C167" s="13"/>
      <c r="D167" s="1"/>
      <c r="E167" s="10"/>
      <c r="F167" s="1"/>
    </row>
    <row r="168" spans="2:10" ht="17" customHeight="1">
      <c r="B168" s="65"/>
      <c r="C168" s="13"/>
      <c r="D168" s="1"/>
      <c r="E168" s="10"/>
      <c r="F168" s="1"/>
    </row>
    <row r="169" spans="2:10" ht="17" customHeight="1">
      <c r="B169" s="65"/>
      <c r="C169" s="13"/>
      <c r="D169" s="1"/>
      <c r="E169" s="10"/>
      <c r="F169" s="1"/>
    </row>
    <row r="170" spans="2:10" ht="17" customHeight="1">
      <c r="B170" s="65"/>
      <c r="C170" s="13"/>
      <c r="D170" s="1"/>
      <c r="E170" s="10"/>
      <c r="F170" s="1"/>
    </row>
    <row r="171" spans="2:10" ht="17" customHeight="1">
      <c r="B171" s="65"/>
      <c r="C171" s="13"/>
      <c r="D171" s="1"/>
      <c r="E171" s="10"/>
      <c r="F171" s="1"/>
    </row>
    <row r="172" spans="2:10" ht="17" customHeight="1">
      <c r="B172" s="65"/>
      <c r="C172" s="13"/>
      <c r="D172" s="1"/>
      <c r="E172" s="10"/>
      <c r="F172" s="1"/>
    </row>
    <row r="173" spans="2:10" ht="17" customHeight="1">
      <c r="B173" s="65"/>
      <c r="C173" s="13"/>
      <c r="D173" s="1"/>
      <c r="E173" s="10"/>
      <c r="F173" s="1"/>
    </row>
    <row r="174" spans="2:10" ht="17" customHeight="1">
      <c r="B174" s="65"/>
      <c r="C174" s="13"/>
      <c r="D174" s="1"/>
      <c r="E174" s="10"/>
      <c r="F174" s="1"/>
    </row>
    <row r="175" spans="2:10" ht="17" customHeight="1">
      <c r="B175" s="65"/>
      <c r="C175" s="13"/>
      <c r="D175" s="1"/>
      <c r="E175" s="10"/>
      <c r="F175" s="1"/>
      <c r="G175" s="133" t="s">
        <v>266</v>
      </c>
    </row>
    <row r="176" spans="2:10" ht="17" customHeight="1">
      <c r="B176" s="65"/>
      <c r="C176" s="13"/>
      <c r="D176" s="1"/>
      <c r="E176" s="10"/>
      <c r="F176" s="1"/>
    </row>
    <row r="177" spans="2:33" ht="17" customHeight="1">
      <c r="B177" s="65"/>
      <c r="C177" s="13"/>
      <c r="D177" s="1"/>
      <c r="E177" s="10"/>
      <c r="F177" s="1"/>
    </row>
    <row r="178" spans="2:33" ht="17" customHeight="1">
      <c r="B178" s="65"/>
      <c r="C178" s="13"/>
      <c r="D178" s="1"/>
      <c r="E178" s="10"/>
      <c r="F178" s="1"/>
    </row>
    <row r="179" spans="2:33" ht="17" customHeight="1">
      <c r="B179" s="65"/>
      <c r="C179" s="13"/>
      <c r="D179" s="1"/>
      <c r="E179" s="10"/>
      <c r="F179" s="1"/>
    </row>
    <row r="180" spans="2:33" ht="17" customHeight="1">
      <c r="B180" s="65"/>
      <c r="C180" s="13"/>
      <c r="D180" s="1"/>
      <c r="E180" s="10"/>
      <c r="F180" s="1"/>
    </row>
    <row r="181" spans="2:33" ht="17" customHeight="1">
      <c r="B181" s="65"/>
      <c r="C181" s="13"/>
      <c r="D181" s="1"/>
      <c r="E181" s="10"/>
      <c r="F181" s="1"/>
    </row>
    <row r="182" spans="2:33" ht="17" customHeight="1">
      <c r="B182" s="65"/>
      <c r="C182" s="13"/>
      <c r="D182" s="1"/>
      <c r="E182" s="10"/>
      <c r="F182" s="1"/>
    </row>
    <row r="183" spans="2:33" ht="17" customHeight="1">
      <c r="B183" s="65"/>
      <c r="C183" s="13"/>
      <c r="D183" s="1"/>
      <c r="E183" s="10"/>
      <c r="F183" s="1"/>
    </row>
    <row r="184" spans="2:33" ht="17" customHeight="1">
      <c r="B184" s="65"/>
      <c r="C184" s="13"/>
      <c r="D184" s="1"/>
      <c r="E184" s="10"/>
      <c r="F184" s="1"/>
    </row>
    <row r="185" spans="2:33" ht="17" customHeight="1">
      <c r="B185" s="65"/>
      <c r="C185" s="13"/>
      <c r="D185" s="1"/>
      <c r="E185" s="10"/>
      <c r="F185" s="1"/>
    </row>
    <row r="186" spans="2:33" ht="17" customHeight="1">
      <c r="B186" s="65"/>
      <c r="C186" s="13"/>
      <c r="D186" s="1"/>
      <c r="E186" s="10"/>
      <c r="F186" s="1"/>
    </row>
    <row r="187" spans="2:33" s="84" customFormat="1" ht="17" customHeight="1">
      <c r="B187" s="142"/>
      <c r="C187" s="89" t="s">
        <v>211</v>
      </c>
      <c r="D187" s="89"/>
      <c r="E187" s="89"/>
      <c r="F187" s="89"/>
      <c r="G187" s="89"/>
      <c r="H187" s="89"/>
      <c r="I187" s="89"/>
      <c r="J187" s="143"/>
      <c r="K187" s="143"/>
      <c r="L187" s="144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2:33" s="84" customFormat="1" ht="17" customHeight="1">
      <c r="B188" s="142"/>
      <c r="C188" s="89" t="s">
        <v>69</v>
      </c>
      <c r="D188" s="89"/>
      <c r="E188" s="89"/>
      <c r="F188" s="89"/>
      <c r="G188" s="89"/>
      <c r="H188" s="89"/>
      <c r="I188" s="89"/>
      <c r="J188" s="143"/>
      <c r="K188" s="143"/>
      <c r="L188" s="144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2:33" s="84" customFormat="1" ht="17" customHeight="1" thickBot="1">
      <c r="B189" s="142"/>
      <c r="C189" s="89"/>
      <c r="D189" s="89"/>
      <c r="E189" s="89"/>
      <c r="F189" s="89"/>
      <c r="G189" s="107" t="s">
        <v>178</v>
      </c>
      <c r="H189" s="89"/>
      <c r="I189" s="89"/>
      <c r="J189" s="143"/>
      <c r="K189" s="143"/>
      <c r="L189" s="144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2:33" s="84" customFormat="1" ht="17" customHeight="1" thickBot="1">
      <c r="B190" s="142"/>
      <c r="C190" s="257"/>
      <c r="D190" s="145"/>
      <c r="E190" s="145"/>
      <c r="F190" s="145"/>
      <c r="G190" s="146" t="s">
        <v>122</v>
      </c>
      <c r="H190" s="145"/>
      <c r="I190" s="145"/>
      <c r="J190" s="258"/>
      <c r="K190" s="259"/>
      <c r="L190" s="144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2:33" s="84" customFormat="1" ht="17" customHeight="1" thickBot="1">
      <c r="B191" s="142"/>
      <c r="C191" s="89"/>
      <c r="D191" s="89"/>
      <c r="E191" s="89"/>
      <c r="F191" s="346" t="s">
        <v>152</v>
      </c>
      <c r="G191" s="346" t="s">
        <v>144</v>
      </c>
      <c r="H191" s="347" t="s">
        <v>181</v>
      </c>
      <c r="I191" s="89"/>
      <c r="J191" s="143"/>
      <c r="K191" s="143"/>
      <c r="L191" s="144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2:33" s="84" customFormat="1" ht="17" customHeight="1" thickBot="1">
      <c r="B192" s="142"/>
      <c r="C192" s="89"/>
      <c r="D192" s="89"/>
      <c r="E192" s="167" t="s">
        <v>179</v>
      </c>
      <c r="F192" s="254">
        <f ca="1">$G$86</f>
        <v>8.5623895850789958E-2</v>
      </c>
      <c r="G192" s="254">
        <f ca="1">$H$86</f>
        <v>4.7248245604036808E-2</v>
      </c>
      <c r="H192" s="254">
        <f ca="1">$I$86</f>
        <v>0.12675887249584805</v>
      </c>
      <c r="I192" s="89"/>
      <c r="J192" s="143"/>
      <c r="K192" s="143"/>
      <c r="L192" s="144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2:33" s="84" customFormat="1" ht="17" customHeight="1" thickBot="1">
      <c r="B193" s="142"/>
      <c r="C193" s="89"/>
      <c r="D193" s="89"/>
      <c r="E193" s="167" t="s">
        <v>180</v>
      </c>
      <c r="F193" s="254">
        <f ca="1">$J$149</f>
        <v>6.0286612931879167E-2</v>
      </c>
      <c r="G193" s="254">
        <v>0</v>
      </c>
      <c r="H193" s="254">
        <f ca="1">$L$149</f>
        <v>6.028661293187916E-2</v>
      </c>
      <c r="I193" s="356" t="s">
        <v>121</v>
      </c>
      <c r="J193" s="143"/>
      <c r="K193" s="143"/>
      <c r="L193" s="144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2:33" s="84" customFormat="1" ht="17" customHeight="1" thickBot="1">
      <c r="B194" s="142"/>
      <c r="C194" s="89"/>
      <c r="D194" s="89"/>
      <c r="E194" s="167" t="s">
        <v>95</v>
      </c>
      <c r="F194" s="357">
        <f ca="1">(F193-F192)/F192</f>
        <v>-0.29591368936382062</v>
      </c>
      <c r="G194" s="358">
        <v>1</v>
      </c>
      <c r="H194" s="357">
        <f ca="1">(H193-H192)/H192</f>
        <v>-0.52439926495990385</v>
      </c>
      <c r="I194" s="356" t="s">
        <v>116</v>
      </c>
      <c r="J194" s="143"/>
      <c r="K194" s="143"/>
      <c r="L194" s="144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2:33" s="84" customFormat="1" ht="17" customHeight="1">
      <c r="B195" s="142"/>
      <c r="C195" s="89"/>
      <c r="D195" s="89"/>
      <c r="E195" s="167"/>
      <c r="F195" s="149"/>
      <c r="G195" s="150"/>
      <c r="H195" s="149"/>
      <c r="I195" s="89"/>
      <c r="J195" s="143"/>
      <c r="K195" s="143"/>
      <c r="L195" s="144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2:33" s="84" customFormat="1" ht="17" customHeight="1">
      <c r="B196" s="142" t="s">
        <v>154</v>
      </c>
      <c r="C196" s="89"/>
      <c r="D196" s="89"/>
      <c r="E196" s="148"/>
      <c r="F196" s="149"/>
      <c r="G196" s="150"/>
      <c r="H196" s="149"/>
      <c r="I196" s="89"/>
      <c r="J196" s="143"/>
      <c r="K196" s="143"/>
      <c r="L196" s="144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2:33" s="84" customFormat="1" ht="17" customHeight="1">
      <c r="B197" s="142"/>
      <c r="C197" s="89" t="s">
        <v>155</v>
      </c>
      <c r="D197" s="89"/>
      <c r="E197" s="148"/>
      <c r="F197" s="149"/>
      <c r="G197" s="150"/>
      <c r="H197" s="149"/>
      <c r="I197" s="89"/>
      <c r="J197" s="143"/>
      <c r="K197" s="143"/>
      <c r="L197" s="144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2:33" s="84" customFormat="1" ht="17" customHeight="1">
      <c r="B198" s="142"/>
      <c r="C198" s="89" t="s">
        <v>156</v>
      </c>
      <c r="D198" s="89"/>
      <c r="E198" s="148"/>
      <c r="F198" s="149"/>
      <c r="G198" s="150"/>
      <c r="H198" s="149"/>
      <c r="I198" s="89"/>
      <c r="J198" s="143"/>
      <c r="K198" s="143"/>
      <c r="L198" s="144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2:33" s="84" customFormat="1" ht="17" customHeight="1">
      <c r="B199" s="142"/>
      <c r="C199" s="89" t="s">
        <v>317</v>
      </c>
      <c r="D199" s="89"/>
      <c r="E199" s="148"/>
      <c r="F199" s="149"/>
      <c r="G199" s="150"/>
      <c r="H199" s="149"/>
      <c r="I199" s="89"/>
      <c r="J199" s="143"/>
      <c r="K199" s="143"/>
      <c r="L199" s="144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2:33" s="84" customFormat="1" ht="17" customHeight="1">
      <c r="B200" s="142"/>
      <c r="C200" s="89" t="s">
        <v>318</v>
      </c>
      <c r="D200" s="89"/>
      <c r="E200" s="148"/>
      <c r="F200" s="149"/>
      <c r="G200" s="150"/>
      <c r="H200" s="149"/>
      <c r="I200" s="89"/>
      <c r="J200" s="143"/>
      <c r="K200" s="143"/>
      <c r="L200" s="144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2:33" s="84" customFormat="1" ht="17" customHeight="1">
      <c r="B201" s="142"/>
      <c r="C201" s="89" t="s">
        <v>351</v>
      </c>
      <c r="D201" s="89"/>
      <c r="E201" s="148"/>
      <c r="F201" s="149"/>
      <c r="G201" s="150"/>
      <c r="H201" s="149"/>
      <c r="I201" s="89"/>
      <c r="J201" s="143"/>
      <c r="K201" s="143"/>
      <c r="L201" s="144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2:33" s="84" customFormat="1" ht="17" customHeight="1">
      <c r="B202" s="142"/>
      <c r="C202" s="89" t="s">
        <v>352</v>
      </c>
      <c r="D202" s="89"/>
      <c r="E202" s="148"/>
      <c r="F202" s="149"/>
      <c r="G202" s="150"/>
      <c r="H202" s="149"/>
      <c r="I202" s="89"/>
      <c r="J202" s="143"/>
      <c r="K202" s="143"/>
      <c r="L202" s="144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2:33" ht="17" customHeight="1">
      <c r="B203" s="65"/>
      <c r="C203" s="13" t="s">
        <v>205</v>
      </c>
      <c r="D203" s="1"/>
      <c r="E203" s="10"/>
      <c r="F203" s="1"/>
    </row>
    <row r="204" spans="2:33" ht="17" customHeight="1" thickBot="1">
      <c r="B204" s="65"/>
      <c r="C204" s="13"/>
      <c r="D204" s="1"/>
      <c r="E204" s="10"/>
      <c r="F204" s="1"/>
      <c r="G204" s="2" t="s">
        <v>206</v>
      </c>
    </row>
    <row r="205" spans="2:33" ht="17" customHeight="1" thickBot="1">
      <c r="B205" s="296"/>
      <c r="C205" s="256"/>
      <c r="D205" s="139"/>
      <c r="E205" s="153"/>
      <c r="F205" s="139"/>
      <c r="G205" s="154" t="s">
        <v>277</v>
      </c>
      <c r="H205" s="139"/>
      <c r="I205" s="139"/>
      <c r="J205" s="139"/>
      <c r="K205" s="155"/>
    </row>
    <row r="206" spans="2:33" s="17" customFormat="1" ht="14" customHeight="1">
      <c r="B206" s="66"/>
      <c r="C206" s="156"/>
      <c r="E206" s="158" t="s">
        <v>278</v>
      </c>
      <c r="F206" s="158" t="s">
        <v>279</v>
      </c>
      <c r="G206" s="158" t="s">
        <v>285</v>
      </c>
      <c r="H206" s="158" t="s">
        <v>281</v>
      </c>
      <c r="I206" s="158" t="s">
        <v>281</v>
      </c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2:33" s="17" customFormat="1" ht="14" customHeight="1">
      <c r="B207" s="66"/>
      <c r="C207" s="156"/>
      <c r="E207" s="157" t="s">
        <v>280</v>
      </c>
      <c r="F207" s="157" t="s">
        <v>280</v>
      </c>
      <c r="G207" s="157" t="s">
        <v>282</v>
      </c>
      <c r="H207" s="157" t="s">
        <v>283</v>
      </c>
      <c r="I207" s="158" t="s">
        <v>282</v>
      </c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2:33" ht="14" customHeight="1" thickBot="1">
      <c r="B208" s="65"/>
      <c r="C208" s="13"/>
      <c r="D208" s="1"/>
      <c r="E208" s="183" t="s">
        <v>405</v>
      </c>
      <c r="F208" s="183" t="s">
        <v>405</v>
      </c>
      <c r="G208" s="183" t="s">
        <v>405</v>
      </c>
      <c r="H208" s="183" t="s">
        <v>264</v>
      </c>
      <c r="I208" s="183" t="s">
        <v>405</v>
      </c>
    </row>
    <row r="209" spans="2:9" ht="14" customHeight="1" thickBot="1">
      <c r="B209" s="65"/>
      <c r="C209" s="13"/>
      <c r="D209" s="66">
        <v>1</v>
      </c>
      <c r="E209" s="159">
        <f>(E64-F64)*G64*0.5</f>
        <v>1960.9306204024333</v>
      </c>
      <c r="F209" s="160">
        <f>(H127-I127)*J127*0.5</f>
        <v>2077.7943379087283</v>
      </c>
      <c r="G209" s="160">
        <f>F209-E209</f>
        <v>116.86371750629496</v>
      </c>
      <c r="H209" s="160">
        <f>F127</f>
        <v>201.46223554111202</v>
      </c>
      <c r="I209" s="160">
        <f>G209+H209</f>
        <v>318.32595304740698</v>
      </c>
    </row>
    <row r="210" spans="2:9" ht="14" customHeight="1" thickBot="1">
      <c r="B210" s="65"/>
      <c r="C210" s="13"/>
      <c r="D210" s="66">
        <f>D209+1</f>
        <v>2</v>
      </c>
      <c r="E210" s="159">
        <f>(E65-F65)*G65*0.5</f>
        <v>1366.8103819222515</v>
      </c>
      <c r="F210" s="160">
        <f>(H128-I128)*J128*0.5</f>
        <v>1577.7819840506017</v>
      </c>
      <c r="G210" s="160">
        <f>F210-E210</f>
        <v>210.97160212835024</v>
      </c>
      <c r="H210" s="160">
        <f>F128</f>
        <v>-213.08419907800271</v>
      </c>
      <c r="I210" s="160">
        <f>G210+H210</f>
        <v>-2.1125969496524704</v>
      </c>
    </row>
    <row r="211" spans="2:9" ht="14" customHeight="1" thickBot="1">
      <c r="B211" s="65"/>
      <c r="C211" s="13"/>
      <c r="D211" s="66">
        <f t="shared" ref="D211:D217" si="34">D210+1</f>
        <v>3</v>
      </c>
      <c r="E211" s="159">
        <f t="shared" ref="E211:E228" ca="1" si="35">(E66-F66)*G66*0.5</f>
        <v>1804.6619410742358</v>
      </c>
      <c r="F211" s="160">
        <f t="shared" ref="F211:F228" ca="1" si="36">(H129-I129)*J129*0.5</f>
        <v>1919.3747633564035</v>
      </c>
      <c r="G211" s="160">
        <f t="shared" ref="G211:G228" ca="1" si="37">F211-E211</f>
        <v>114.71282228216774</v>
      </c>
      <c r="H211" s="160">
        <f t="shared" ref="H211:H228" ca="1" si="38">F129</f>
        <v>205.94304969802749</v>
      </c>
      <c r="I211" s="160">
        <f t="shared" ref="I211:I228" ca="1" si="39">G211+H211</f>
        <v>320.65587198019523</v>
      </c>
    </row>
    <row r="212" spans="2:9" ht="14" customHeight="1" thickBot="1">
      <c r="B212" s="65"/>
      <c r="C212" s="13"/>
      <c r="D212" s="66">
        <f t="shared" si="34"/>
        <v>4</v>
      </c>
      <c r="E212" s="159">
        <f t="shared" ca="1" si="35"/>
        <v>1452.7302401115558</v>
      </c>
      <c r="F212" s="160">
        <f t="shared" ca="1" si="36"/>
        <v>1657.4468561895685</v>
      </c>
      <c r="G212" s="160">
        <f t="shared" ca="1" si="37"/>
        <v>204.71661607801275</v>
      </c>
      <c r="H212" s="160">
        <f t="shared" ca="1" si="38"/>
        <v>-201.16700090976423</v>
      </c>
      <c r="I212" s="160">
        <f t="shared" ca="1" si="39"/>
        <v>3.549615168248522</v>
      </c>
    </row>
    <row r="213" spans="2:9" ht="14" customHeight="1" thickBot="1">
      <c r="B213" s="65"/>
      <c r="C213" s="13"/>
      <c r="D213" s="66">
        <f t="shared" si="34"/>
        <v>5</v>
      </c>
      <c r="E213" s="159">
        <f t="shared" ca="1" si="35"/>
        <v>1690.3885885424256</v>
      </c>
      <c r="F213" s="160">
        <f t="shared" ca="1" si="36"/>
        <v>1731.1556595677191</v>
      </c>
      <c r="G213" s="160">
        <f t="shared" ca="1" si="37"/>
        <v>40.76707102529349</v>
      </c>
      <c r="H213" s="160">
        <f t="shared" ca="1" si="38"/>
        <v>76.347840891525323</v>
      </c>
      <c r="I213" s="160">
        <f t="shared" ca="1" si="39"/>
        <v>117.11491191681881</v>
      </c>
    </row>
    <row r="214" spans="2:9" ht="14" customHeight="1" thickBot="1">
      <c r="B214" s="65"/>
      <c r="C214" s="13"/>
      <c r="D214" s="66">
        <f t="shared" si="34"/>
        <v>6</v>
      </c>
      <c r="E214" s="159">
        <f t="shared" ca="1" si="35"/>
        <v>1893.3495947385115</v>
      </c>
      <c r="F214" s="160">
        <f t="shared" ca="1" si="36"/>
        <v>2006.5534045154561</v>
      </c>
      <c r="G214" s="160">
        <f t="shared" ca="1" si="37"/>
        <v>113.20380977694458</v>
      </c>
      <c r="H214" s="160">
        <f t="shared" ca="1" si="38"/>
        <v>198.59601015435572</v>
      </c>
      <c r="I214" s="160">
        <f t="shared" ca="1" si="39"/>
        <v>311.79981993130031</v>
      </c>
    </row>
    <row r="215" spans="2:9" ht="14" customHeight="1" thickBot="1">
      <c r="B215" s="65"/>
      <c r="C215" s="13"/>
      <c r="D215" s="66">
        <f t="shared" si="34"/>
        <v>7</v>
      </c>
      <c r="E215" s="159">
        <f t="shared" ca="1" si="35"/>
        <v>1591.6490033840539</v>
      </c>
      <c r="F215" s="160">
        <f t="shared" ca="1" si="36"/>
        <v>1745.6315231361496</v>
      </c>
      <c r="G215" s="160">
        <f t="shared" ca="1" si="37"/>
        <v>153.98251975209564</v>
      </c>
      <c r="H215" s="160">
        <f t="shared" ca="1" si="38"/>
        <v>292.06623490807488</v>
      </c>
      <c r="I215" s="160">
        <f t="shared" ca="1" si="39"/>
        <v>446.04875466017052</v>
      </c>
    </row>
    <row r="216" spans="2:9" ht="14" customHeight="1" thickBot="1">
      <c r="B216" s="65"/>
      <c r="C216" s="13"/>
      <c r="D216" s="66">
        <f t="shared" si="34"/>
        <v>8</v>
      </c>
      <c r="E216" s="159">
        <f t="shared" ca="1" si="35"/>
        <v>1455.4651102397597</v>
      </c>
      <c r="F216" s="160">
        <f t="shared" ca="1" si="36"/>
        <v>1459.6436923867741</v>
      </c>
      <c r="G216" s="160">
        <f t="shared" ca="1" si="37"/>
        <v>4.1785821470143674</v>
      </c>
      <c r="H216" s="160">
        <f t="shared" ca="1" si="38"/>
        <v>8.4779781812324018</v>
      </c>
      <c r="I216" s="160">
        <f t="shared" ca="1" si="39"/>
        <v>12.656560328246769</v>
      </c>
    </row>
    <row r="217" spans="2:9" ht="14" customHeight="1" thickBot="1">
      <c r="B217" s="65"/>
      <c r="C217" s="13"/>
      <c r="D217" s="66">
        <f t="shared" si="34"/>
        <v>9</v>
      </c>
      <c r="E217" s="159">
        <f t="shared" ca="1" si="35"/>
        <v>1365.6424243785464</v>
      </c>
      <c r="F217" s="160">
        <f t="shared" ca="1" si="36"/>
        <v>1718.6060231615293</v>
      </c>
      <c r="G217" s="160">
        <f t="shared" ca="1" si="37"/>
        <v>352.9635987829829</v>
      </c>
      <c r="H217" s="160">
        <f t="shared" ca="1" si="38"/>
        <v>-348.68267010254925</v>
      </c>
      <c r="I217" s="160">
        <f t="shared" ca="1" si="39"/>
        <v>4.2809286804336466</v>
      </c>
    </row>
    <row r="218" spans="2:9" ht="14" customHeight="1" thickBot="1">
      <c r="B218" s="65"/>
      <c r="C218" s="13"/>
      <c r="D218" s="66">
        <v>10</v>
      </c>
      <c r="E218" s="159">
        <f t="shared" ca="1" si="35"/>
        <v>1672.1228251218199</v>
      </c>
      <c r="F218" s="160">
        <f t="shared" ca="1" si="36"/>
        <v>1736.1077018829644</v>
      </c>
      <c r="G218" s="160">
        <f t="shared" ca="1" si="37"/>
        <v>63.984876761144506</v>
      </c>
      <c r="H218" s="160">
        <f t="shared" ca="1" si="38"/>
        <v>120.06671143425592</v>
      </c>
      <c r="I218" s="160">
        <f t="shared" ca="1" si="39"/>
        <v>184.05158819540043</v>
      </c>
    </row>
    <row r="219" spans="2:9" ht="14" customHeight="1" thickBot="1">
      <c r="B219" s="65"/>
      <c r="C219" s="13"/>
      <c r="D219" s="66">
        <v>11</v>
      </c>
      <c r="E219" s="159">
        <f t="shared" ca="1" si="35"/>
        <v>1622.6853110446827</v>
      </c>
      <c r="F219" s="160">
        <f t="shared" ca="1" si="36"/>
        <v>1797.1545391360753</v>
      </c>
      <c r="G219" s="160">
        <f t="shared" ca="1" si="37"/>
        <v>174.46922809139255</v>
      </c>
      <c r="H219" s="160">
        <f t="shared" ca="1" si="38"/>
        <v>326.92490735663995</v>
      </c>
      <c r="I219" s="160">
        <f t="shared" ca="1" si="39"/>
        <v>501.3941354480325</v>
      </c>
    </row>
    <row r="220" spans="2:9" ht="14" customHeight="1" thickBot="1">
      <c r="B220" s="65"/>
      <c r="C220" s="13"/>
      <c r="D220" s="66">
        <v>12</v>
      </c>
      <c r="E220" s="159">
        <f t="shared" ca="1" si="35"/>
        <v>1315.6170603155965</v>
      </c>
      <c r="F220" s="160">
        <f t="shared" ca="1" si="36"/>
        <v>1694.2885838181601</v>
      </c>
      <c r="G220" s="160">
        <f t="shared" ca="1" si="37"/>
        <v>378.67152350256356</v>
      </c>
      <c r="H220" s="160">
        <f t="shared" ca="1" si="38"/>
        <v>-378.80108792300035</v>
      </c>
      <c r="I220" s="160">
        <f t="shared" ca="1" si="39"/>
        <v>-0.12956442043679317</v>
      </c>
    </row>
    <row r="221" spans="2:9" ht="14" customHeight="1" thickBot="1">
      <c r="B221" s="65"/>
      <c r="C221" s="13"/>
      <c r="D221" s="66">
        <v>13</v>
      </c>
      <c r="E221" s="159">
        <f t="shared" ca="1" si="35"/>
        <v>1232.4696085388327</v>
      </c>
      <c r="F221" s="160">
        <f t="shared" ca="1" si="36"/>
        <v>1573.1067414740826</v>
      </c>
      <c r="G221" s="160">
        <f t="shared" ca="1" si="37"/>
        <v>340.63713293524984</v>
      </c>
      <c r="H221" s="160">
        <f t="shared" ca="1" si="38"/>
        <v>-352.8956428034229</v>
      </c>
      <c r="I221" s="160">
        <f t="shared" ca="1" si="39"/>
        <v>-12.258509868173064</v>
      </c>
    </row>
    <row r="222" spans="2:9" ht="14" customHeight="1" thickBot="1">
      <c r="B222" s="65"/>
      <c r="C222" s="13"/>
      <c r="D222" s="66">
        <v>14</v>
      </c>
      <c r="E222" s="159">
        <f t="shared" ca="1" si="35"/>
        <v>1175.4426301255464</v>
      </c>
      <c r="F222" s="160">
        <f t="shared" ca="1" si="36"/>
        <v>1641.8697669756807</v>
      </c>
      <c r="G222" s="160">
        <f t="shared" ca="1" si="37"/>
        <v>466.42713685013427</v>
      </c>
      <c r="H222" s="160">
        <f t="shared" ca="1" si="38"/>
        <v>-482.98142388001395</v>
      </c>
      <c r="I222" s="160">
        <f t="shared" ca="1" si="39"/>
        <v>-16.554287029879674</v>
      </c>
    </row>
    <row r="223" spans="2:9" ht="14" customHeight="1" thickBot="1">
      <c r="B223" s="65"/>
      <c r="C223" s="13"/>
      <c r="D223" s="66">
        <v>15</v>
      </c>
      <c r="E223" s="159">
        <f t="shared" ca="1" si="35"/>
        <v>1910.8079330539597</v>
      </c>
      <c r="F223" s="160">
        <f t="shared" ca="1" si="36"/>
        <v>2119.3052645379339</v>
      </c>
      <c r="G223" s="160">
        <f t="shared" ca="1" si="37"/>
        <v>208.49733148397422</v>
      </c>
      <c r="H223" s="160">
        <f t="shared" ca="1" si="38"/>
        <v>359.89676753968496</v>
      </c>
      <c r="I223" s="160">
        <f t="shared" ca="1" si="39"/>
        <v>568.39409902365924</v>
      </c>
    </row>
    <row r="224" spans="2:9" ht="14" customHeight="1" thickBot="1">
      <c r="B224" s="65"/>
      <c r="C224" s="13"/>
      <c r="D224" s="66">
        <v>16</v>
      </c>
      <c r="E224" s="159">
        <f t="shared" ca="1" si="35"/>
        <v>1549.5476182630166</v>
      </c>
      <c r="F224" s="160">
        <f t="shared" ca="1" si="36"/>
        <v>1616.7837589894596</v>
      </c>
      <c r="G224" s="160">
        <f t="shared" ca="1" si="37"/>
        <v>67.236140726442954</v>
      </c>
      <c r="H224" s="160">
        <f t="shared" ca="1" si="38"/>
        <v>130.90001640229247</v>
      </c>
      <c r="I224" s="160">
        <f t="shared" ca="1" si="39"/>
        <v>198.13615712873542</v>
      </c>
    </row>
    <row r="225" spans="2:11" ht="14" customHeight="1" thickBot="1">
      <c r="B225" s="65"/>
      <c r="C225" s="13"/>
      <c r="D225" s="66">
        <v>17</v>
      </c>
      <c r="E225" s="159">
        <f t="shared" ca="1" si="35"/>
        <v>1654.6886826122447</v>
      </c>
      <c r="F225" s="160">
        <f t="shared" ca="1" si="36"/>
        <v>1691.6008584534827</v>
      </c>
      <c r="G225" s="160">
        <f t="shared" ca="1" si="37"/>
        <v>36.912175841237968</v>
      </c>
      <c r="H225" s="160">
        <f t="shared" ca="1" si="38"/>
        <v>-34.950639072345666</v>
      </c>
      <c r="I225" s="160">
        <f t="shared" ca="1" si="39"/>
        <v>1.9615367688923016</v>
      </c>
    </row>
    <row r="226" spans="2:11" ht="14" customHeight="1" thickBot="1">
      <c r="B226" s="65"/>
      <c r="C226" s="13"/>
      <c r="D226" s="66">
        <v>18</v>
      </c>
      <c r="E226" s="159">
        <f t="shared" ca="1" si="35"/>
        <v>1747.9807356831448</v>
      </c>
      <c r="F226" s="160">
        <f t="shared" ca="1" si="36"/>
        <v>1983.3730543860634</v>
      </c>
      <c r="G226" s="160">
        <f t="shared" ca="1" si="37"/>
        <v>235.3923187029186</v>
      </c>
      <c r="H226" s="160">
        <f t="shared" ca="1" si="38"/>
        <v>422.34374302477903</v>
      </c>
      <c r="I226" s="160">
        <f t="shared" ca="1" si="39"/>
        <v>657.73606172769769</v>
      </c>
    </row>
    <row r="227" spans="2:11" ht="14" customHeight="1" thickBot="1">
      <c r="B227" s="65"/>
      <c r="C227" s="13"/>
      <c r="D227" s="66">
        <v>19</v>
      </c>
      <c r="E227" s="159">
        <f t="shared" ca="1" si="35"/>
        <v>1107.3160951340863</v>
      </c>
      <c r="F227" s="160">
        <f t="shared" ca="1" si="36"/>
        <v>1403.018007378819</v>
      </c>
      <c r="G227" s="160">
        <f t="shared" ca="1" si="37"/>
        <v>295.70191224473274</v>
      </c>
      <c r="H227" s="160">
        <f t="shared" ca="1" si="38"/>
        <v>-323.82188606963553</v>
      </c>
      <c r="I227" s="160">
        <f t="shared" ca="1" si="39"/>
        <v>-28.119973824902786</v>
      </c>
    </row>
    <row r="228" spans="2:11" ht="14" customHeight="1" thickBot="1">
      <c r="B228" s="65"/>
      <c r="C228" s="13"/>
      <c r="D228" s="66">
        <v>20</v>
      </c>
      <c r="E228" s="159">
        <f t="shared" ca="1" si="35"/>
        <v>2012.312986259438</v>
      </c>
      <c r="F228" s="160">
        <f t="shared" ca="1" si="36"/>
        <v>2159.0087143597948</v>
      </c>
      <c r="G228" s="160">
        <f t="shared" ca="1" si="37"/>
        <v>146.69572810035675</v>
      </c>
      <c r="H228" s="160">
        <f t="shared" ca="1" si="38"/>
        <v>248.85044339247457</v>
      </c>
      <c r="I228" s="160">
        <f t="shared" ca="1" si="39"/>
        <v>395.54617149283132</v>
      </c>
    </row>
    <row r="229" spans="2:11" ht="14" customHeight="1" thickBot="1">
      <c r="B229" s="65"/>
      <c r="C229" s="13"/>
      <c r="D229" s="19" t="s">
        <v>251</v>
      </c>
      <c r="E229" s="159">
        <f ca="1">AVERAGE(E209:E228)</f>
        <v>1579.1309695473069</v>
      </c>
      <c r="F229" s="159">
        <f ca="1">AVERAGE(F209:F228)</f>
        <v>1765.480261783272</v>
      </c>
      <c r="G229" s="159">
        <f ca="1">AVERAGE(G209:G228)</f>
        <v>186.34929223596524</v>
      </c>
      <c r="H229" s="159">
        <f ca="1">AVERAGE(H209:H228)</f>
        <v>12.774569434286013</v>
      </c>
      <c r="I229" s="159">
        <f ca="1">AVERAGE(I209:I228)</f>
        <v>199.12386167025124</v>
      </c>
    </row>
    <row r="230" spans="2:11" ht="14" customHeight="1" thickBot="1">
      <c r="B230" s="65"/>
      <c r="C230" s="13"/>
      <c r="D230" s="19" t="s">
        <v>394</v>
      </c>
      <c r="E230" s="161">
        <f ca="1">STDEV(E209:E228)</f>
        <v>266.39045604448506</v>
      </c>
      <c r="F230" s="161">
        <f ca="1">STDEV(F209:F228)</f>
        <v>213.89252180740127</v>
      </c>
      <c r="G230" s="161">
        <f ca="1">STDEV(G209:G228)</f>
        <v>127.05947758473232</v>
      </c>
      <c r="H230" s="161">
        <f ca="1">STDEV(H209:H228)</f>
        <v>284.09304961833777</v>
      </c>
      <c r="I230" s="161">
        <f ca="1">STDEV(I209:I228)</f>
        <v>224.67856837797268</v>
      </c>
    </row>
    <row r="231" spans="2:11" ht="14" customHeight="1" thickBot="1">
      <c r="B231" s="65"/>
      <c r="C231" s="13"/>
      <c r="D231" s="19" t="s">
        <v>395</v>
      </c>
      <c r="E231" s="162">
        <f ca="1">E230/E229</f>
        <v>0.16869433959670352</v>
      </c>
      <c r="F231" s="162">
        <f ca="1">F230/F229</f>
        <v>0.12115259877861972</v>
      </c>
      <c r="G231" s="162">
        <f ca="1">G230/G229</f>
        <v>0.68183504246339155</v>
      </c>
      <c r="H231" s="162">
        <f ca="1">H230/H229</f>
        <v>22.238953029278054</v>
      </c>
      <c r="I231" s="162">
        <f ca="1">I230/I229</f>
        <v>1.1283357328115702</v>
      </c>
    </row>
    <row r="232" spans="2:11" ht="14" customHeight="1">
      <c r="B232" s="65"/>
      <c r="C232" s="13"/>
      <c r="D232" s="19"/>
      <c r="E232" s="164"/>
      <c r="F232" s="164"/>
      <c r="G232" s="164"/>
      <c r="H232" s="164"/>
      <c r="I232" s="164"/>
    </row>
    <row r="233" spans="2:11" ht="17" customHeight="1">
      <c r="B233" s="13" t="s">
        <v>287</v>
      </c>
      <c r="C233" s="1"/>
      <c r="D233" s="10"/>
      <c r="F233" s="1"/>
      <c r="H233" s="163">
        <f ca="1">I229/E229</f>
        <v>0.126097116395187</v>
      </c>
      <c r="I233" s="81" t="s">
        <v>419</v>
      </c>
      <c r="J233" s="253">
        <f ca="1">I229</f>
        <v>199.12386167025124</v>
      </c>
      <c r="K233" s="252">
        <f ca="1">E229</f>
        <v>1579.1309695473069</v>
      </c>
    </row>
    <row r="234" spans="2:11" ht="17" customHeight="1">
      <c r="B234" s="1" t="s">
        <v>420</v>
      </c>
      <c r="C234" s="1"/>
      <c r="D234" s="10"/>
      <c r="F234" s="1"/>
      <c r="H234" s="163"/>
    </row>
    <row r="235" spans="2:11" ht="17" customHeight="1">
      <c r="B235" s="13" t="s">
        <v>421</v>
      </c>
      <c r="C235" s="1"/>
      <c r="D235" s="10"/>
      <c r="F235" s="1"/>
    </row>
    <row r="236" spans="2:11" ht="17" customHeight="1">
      <c r="B236" s="13" t="s">
        <v>422</v>
      </c>
      <c r="C236" s="1"/>
      <c r="D236" s="10"/>
      <c r="F236" s="1"/>
    </row>
    <row r="237" spans="2:11" ht="17" customHeight="1">
      <c r="B237" s="13" t="s">
        <v>423</v>
      </c>
      <c r="C237" s="1"/>
      <c r="D237" s="10"/>
      <c r="F237" s="1"/>
    </row>
    <row r="238" spans="2:11" ht="13" customHeight="1">
      <c r="B238" s="65"/>
      <c r="C238" s="13"/>
      <c r="D238" s="1"/>
      <c r="E238" s="10"/>
      <c r="F238" s="1"/>
    </row>
    <row r="239" spans="2:11" ht="19" customHeight="1">
      <c r="B239" s="65">
        <v>3</v>
      </c>
      <c r="C239" s="65" t="s">
        <v>307</v>
      </c>
      <c r="D239" s="1"/>
      <c r="E239" s="10"/>
      <c r="F239" s="1"/>
    </row>
    <row r="240" spans="2:11" ht="17" customHeight="1">
      <c r="B240" s="13" t="s">
        <v>151</v>
      </c>
      <c r="C240" s="1"/>
      <c r="D240" s="10"/>
      <c r="F240" s="1"/>
    </row>
    <row r="241" spans="2:33" ht="17" customHeight="1">
      <c r="B241" s="13" t="s">
        <v>353</v>
      </c>
      <c r="C241" s="1"/>
      <c r="D241" s="10"/>
      <c r="F241" s="1"/>
    </row>
    <row r="242" spans="2:33" ht="17" customHeight="1">
      <c r="B242" s="13" t="s">
        <v>356</v>
      </c>
      <c r="C242" s="1"/>
      <c r="D242" s="10"/>
      <c r="F242" s="1"/>
    </row>
    <row r="243" spans="2:33" ht="17" customHeight="1">
      <c r="B243" s="13" t="s">
        <v>357</v>
      </c>
      <c r="C243" s="1"/>
      <c r="D243" s="10"/>
      <c r="F243" s="1"/>
    </row>
    <row r="244" spans="2:33" ht="17" customHeight="1" thickBot="1">
      <c r="B244" s="13"/>
      <c r="C244" s="13"/>
      <c r="D244" s="1"/>
      <c r="E244" s="10"/>
      <c r="F244" s="1"/>
      <c r="G244" s="1" t="s">
        <v>354</v>
      </c>
    </row>
    <row r="245" spans="2:33" ht="17" customHeight="1" thickBot="1">
      <c r="B245" s="13"/>
      <c r="C245" s="13" t="s">
        <v>207</v>
      </c>
      <c r="D245" s="1"/>
      <c r="E245" s="67">
        <v>0.05</v>
      </c>
      <c r="F245" s="1"/>
      <c r="G245" s="71" t="str">
        <f t="shared" ref="G245:J246" si="40">D45</f>
        <v>15. Pd =</v>
      </c>
      <c r="H245" s="72">
        <f t="shared" si="40"/>
        <v>80</v>
      </c>
      <c r="I245" s="79">
        <f t="shared" si="40"/>
        <v>-0.8</v>
      </c>
      <c r="J245" s="80" t="str">
        <f t="shared" si="40"/>
        <v>Qd</v>
      </c>
    </row>
    <row r="246" spans="2:33" ht="17" customHeight="1" thickBot="1">
      <c r="B246" s="13"/>
      <c r="C246" s="13"/>
      <c r="D246" s="10" t="s">
        <v>192</v>
      </c>
      <c r="E246" s="68">
        <f>$J$47*(1+$E$245)</f>
        <v>42</v>
      </c>
      <c r="F246" s="1"/>
      <c r="G246" s="71" t="str">
        <f t="shared" si="40"/>
        <v>16. Ps =</v>
      </c>
      <c r="H246" s="72">
        <f t="shared" si="40"/>
        <v>20</v>
      </c>
      <c r="I246" s="166">
        <f t="shared" si="40"/>
        <v>0.4</v>
      </c>
      <c r="J246" s="80" t="str">
        <f t="shared" si="40"/>
        <v>Qs</v>
      </c>
    </row>
    <row r="247" spans="2:33" ht="17" customHeight="1" thickBot="1">
      <c r="B247" s="13"/>
      <c r="C247" s="13"/>
      <c r="D247" s="10" t="s">
        <v>193</v>
      </c>
      <c r="E247" s="68">
        <f>$J$47/(1+$E$245)</f>
        <v>38.095238095238095</v>
      </c>
      <c r="F247" s="1"/>
      <c r="G247" s="15" t="str">
        <f>I46</f>
        <v>17. Qe =</v>
      </c>
      <c r="H247" s="69">
        <f>$J$46</f>
        <v>49.999999999999993</v>
      </c>
      <c r="I247" s="15" t="str">
        <f>I47</f>
        <v>18. Pe =</v>
      </c>
      <c r="J247" s="16">
        <f>$J$47</f>
        <v>40</v>
      </c>
    </row>
    <row r="248" spans="2:33" ht="17" customHeight="1" thickBot="1">
      <c r="B248" s="13"/>
      <c r="C248" s="13"/>
      <c r="D248" s="10"/>
      <c r="E248" s="78"/>
      <c r="F248" s="1"/>
      <c r="G248" s="15" t="str">
        <f>I48</f>
        <v>19. TR =</v>
      </c>
      <c r="H248" s="16">
        <f>$H$247*$J$247</f>
        <v>1999.9999999999998</v>
      </c>
    </row>
    <row r="249" spans="2:33" ht="17" customHeight="1">
      <c r="B249" s="13"/>
      <c r="C249" s="13"/>
      <c r="D249" s="10"/>
      <c r="E249" s="78"/>
      <c r="F249" s="1"/>
      <c r="G249" s="91"/>
      <c r="H249" s="270"/>
    </row>
    <row r="250" spans="2:33" ht="17" customHeight="1" thickBot="1">
      <c r="B250" s="13"/>
      <c r="C250" s="13"/>
      <c r="D250" s="10"/>
      <c r="E250" s="78"/>
      <c r="F250" s="1"/>
      <c r="G250" s="2" t="s">
        <v>288</v>
      </c>
    </row>
    <row r="251" spans="2:33" ht="17" customHeight="1" thickBot="1">
      <c r="B251" s="13"/>
      <c r="C251" s="138"/>
      <c r="D251" s="165"/>
      <c r="E251" s="117"/>
      <c r="F251" s="118"/>
      <c r="G251" s="119" t="s">
        <v>289</v>
      </c>
      <c r="H251" s="118"/>
      <c r="I251" s="118"/>
      <c r="J251" s="93"/>
      <c r="K251" s="140"/>
      <c r="L251" s="141"/>
    </row>
    <row r="252" spans="2:33" s="82" customFormat="1" ht="17" customHeight="1">
      <c r="B252" s="83"/>
      <c r="C252" s="20" t="s">
        <v>250</v>
      </c>
      <c r="D252" s="116" t="s">
        <v>250</v>
      </c>
      <c r="E252" s="116" t="s">
        <v>250</v>
      </c>
      <c r="F252" s="116" t="s">
        <v>237</v>
      </c>
      <c r="G252" s="20" t="s">
        <v>322</v>
      </c>
      <c r="H252" s="20" t="s">
        <v>291</v>
      </c>
      <c r="I252" s="168" t="s">
        <v>322</v>
      </c>
      <c r="J252" s="20" t="s">
        <v>322</v>
      </c>
      <c r="K252" s="20" t="s">
        <v>322</v>
      </c>
      <c r="L252" s="20" t="s">
        <v>237</v>
      </c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2:33" s="82" customFormat="1" ht="17" customHeight="1">
      <c r="B253" s="83"/>
      <c r="C253" s="116" t="s">
        <v>411</v>
      </c>
      <c r="D253" s="116" t="s">
        <v>411</v>
      </c>
      <c r="E253" s="116" t="s">
        <v>412</v>
      </c>
      <c r="F253" s="116" t="s">
        <v>152</v>
      </c>
      <c r="G253" s="116" t="s">
        <v>319</v>
      </c>
      <c r="H253" s="116" t="s">
        <v>320</v>
      </c>
      <c r="I253" s="169" t="s">
        <v>411</v>
      </c>
      <c r="J253" s="116" t="s">
        <v>411</v>
      </c>
      <c r="K253" s="116" t="s">
        <v>411</v>
      </c>
      <c r="L253" s="116" t="s">
        <v>152</v>
      </c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2:33" s="82" customFormat="1" ht="17" customHeight="1" thickBot="1">
      <c r="B254" s="83"/>
      <c r="C254" s="22" t="s">
        <v>152</v>
      </c>
      <c r="D254" s="22" t="s">
        <v>144</v>
      </c>
      <c r="E254" s="22" t="s">
        <v>413</v>
      </c>
      <c r="F254" s="22" t="s">
        <v>236</v>
      </c>
      <c r="G254" s="22" t="s">
        <v>321</v>
      </c>
      <c r="H254" s="22" t="s">
        <v>321</v>
      </c>
      <c r="I254" s="170" t="s">
        <v>152</v>
      </c>
      <c r="J254" s="22" t="s">
        <v>144</v>
      </c>
      <c r="K254" s="22" t="s">
        <v>187</v>
      </c>
      <c r="L254" s="22" t="s">
        <v>290</v>
      </c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2:33" s="82" customFormat="1" ht="17" customHeight="1" thickBot="1">
      <c r="B255" s="66">
        <v>1</v>
      </c>
      <c r="C255" s="114">
        <f>(E64-F64)/(-$F$45+$F$46)</f>
        <v>57.168327775707432</v>
      </c>
      <c r="D255" s="97">
        <f t="shared" ref="D255:D274" si="41">E64+$F$45*C255</f>
        <v>41.34308157027408</v>
      </c>
      <c r="E255" s="97">
        <f>G64*H64</f>
        <v>2363.514838467238</v>
      </c>
      <c r="F255" s="98" t="str">
        <f>IF(D255&gt;(MAX($E$246:$E$247)),"sell",IF(D255&lt;(MIN($E$246:$E$247)),"buy","do nothing"))</f>
        <v>do nothing</v>
      </c>
      <c r="G255" s="77">
        <f t="shared" ref="G255:G274" si="42">IF(F255="sell",E64,IF(F255="do nothing",E64,$E$247-$I$245*($E$247-F64)/$I$246))</f>
        <v>87.077743790840032</v>
      </c>
      <c r="H255" s="77">
        <f t="shared" ref="H255:H274" si="43">IF(D255&gt;$E$246,$E$246+$I$246*(($E$246-E64)/(-$I$245)),IF(D255&lt;$E$247,F64,F64))</f>
        <v>18.475750459991104</v>
      </c>
      <c r="I255" s="77">
        <f>(G255-H255)/(-$I$245+$I$246)</f>
        <v>57.168327775707432</v>
      </c>
      <c r="J255" s="97">
        <f>IF(D255&gt;$E$246,$E$246,IF(D255&lt;($E$247),$E$247,D255))</f>
        <v>41.34308157027408</v>
      </c>
      <c r="K255" s="97">
        <f>I255*J255</f>
        <v>2363.514838467238</v>
      </c>
      <c r="L255" s="114">
        <f>IF(F255="sell",C255-I255,IF(F255="buy",I255-C255,0))</f>
        <v>0</v>
      </c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2:33" s="82" customFormat="1" ht="17" customHeight="1" thickBot="1">
      <c r="B256" s="66">
        <f>B255+1</f>
        <v>2</v>
      </c>
      <c r="C256" s="114">
        <f t="shared" ref="C256:C274" si="44">(E65-F65)/(-$F$45+$F$46)</f>
        <v>47.728579522166299</v>
      </c>
      <c r="D256" s="97">
        <f t="shared" si="41"/>
        <v>38.579438672813318</v>
      </c>
      <c r="E256" s="97">
        <f t="shared" ref="E256:E274" si="45">G65*H65</f>
        <v>1841.3418066159084</v>
      </c>
      <c r="F256" s="98" t="str">
        <f t="shared" ref="F256:F274" si="46">IF(D256&gt;(MAX($E$246:$E$247)),"sell",IF(D256&lt;(MIN($E$246:$E$247)),"buy","do nothing"))</f>
        <v>do nothing</v>
      </c>
      <c r="G256" s="77">
        <f t="shared" si="42"/>
        <v>76.762302290546359</v>
      </c>
      <c r="H256" s="77">
        <f t="shared" si="43"/>
        <v>19.488006863946794</v>
      </c>
      <c r="I256" s="77">
        <f t="shared" ref="I256:I274" si="47">(G256-H256)/(-$I$245+$I$246)</f>
        <v>47.728579522166299</v>
      </c>
      <c r="J256" s="97">
        <f t="shared" ref="J256:J274" si="48">IF(D256&gt;$E$246,$E$246,IF(D256&lt;($E$247),$E$247,D256))</f>
        <v>38.579438672813318</v>
      </c>
      <c r="K256" s="97">
        <f t="shared" ref="K256:K274" si="49">I256*J256</f>
        <v>1841.3418066159084</v>
      </c>
      <c r="L256" s="114">
        <f t="shared" ref="L256:L274" si="50">IF(F256="sell",C256-I256,IF(F256="buy",I256-C256,0))</f>
        <v>0</v>
      </c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2:33" s="82" customFormat="1" ht="17" customHeight="1" thickBot="1">
      <c r="B257" s="66">
        <f t="shared" ref="B257:B263" si="51">B256+1</f>
        <v>3</v>
      </c>
      <c r="C257" s="114">
        <f t="shared" ca="1" si="44"/>
        <v>54.843139058503866</v>
      </c>
      <c r="D257" s="97">
        <f t="shared" ca="1" si="41"/>
        <v>41.372953664653522</v>
      </c>
      <c r="E257" s="97">
        <f t="shared" ca="1" si="45"/>
        <v>2269.0226510916305</v>
      </c>
      <c r="F257" s="98" t="str">
        <f t="shared" ca="1" si="46"/>
        <v>do nothing</v>
      </c>
      <c r="G257" s="77">
        <f t="shared" ca="1" si="42"/>
        <v>85.247464911456618</v>
      </c>
      <c r="H257" s="77">
        <f t="shared" ca="1" si="43"/>
        <v>19.435698041251968</v>
      </c>
      <c r="I257" s="77">
        <f t="shared" ca="1" si="47"/>
        <v>54.843139058503866</v>
      </c>
      <c r="J257" s="97">
        <f t="shared" ca="1" si="48"/>
        <v>41.372953664653522</v>
      </c>
      <c r="K257" s="97">
        <f t="shared" ca="1" si="49"/>
        <v>2269.0226510916305</v>
      </c>
      <c r="L257" s="114">
        <f t="shared" ca="1" si="50"/>
        <v>0</v>
      </c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2:33" s="82" customFormat="1" ht="17" customHeight="1" thickBot="1">
      <c r="B258" s="66">
        <f t="shared" si="51"/>
        <v>4</v>
      </c>
      <c r="C258" s="114">
        <f t="shared" ca="1" si="44"/>
        <v>49.205864151060211</v>
      </c>
      <c r="D258" s="97">
        <f t="shared" ca="1" si="41"/>
        <v>38.658886660601574</v>
      </c>
      <c r="E258" s="97">
        <f t="shared" ca="1" si="45"/>
        <v>1902.2439252527947</v>
      </c>
      <c r="F258" s="98" t="str">
        <f t="shared" ca="1" si="46"/>
        <v>do nothing</v>
      </c>
      <c r="G258" s="77">
        <f t="shared" ca="1" si="42"/>
        <v>78.023577981449748</v>
      </c>
      <c r="H258" s="77">
        <f t="shared" ca="1" si="43"/>
        <v>18.976541000177484</v>
      </c>
      <c r="I258" s="77">
        <f t="shared" ca="1" si="47"/>
        <v>49.205864151060211</v>
      </c>
      <c r="J258" s="97">
        <f t="shared" ca="1" si="48"/>
        <v>38.658886660601574</v>
      </c>
      <c r="K258" s="97">
        <f t="shared" ca="1" si="49"/>
        <v>1902.2439252527947</v>
      </c>
      <c r="L258" s="114">
        <f t="shared" ca="1" si="50"/>
        <v>0</v>
      </c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2:33" s="82" customFormat="1" ht="17" customHeight="1" thickBot="1">
      <c r="B259" s="66">
        <f t="shared" si="51"/>
        <v>5</v>
      </c>
      <c r="C259" s="114">
        <f t="shared" ca="1" si="44"/>
        <v>53.078378971454804</v>
      </c>
      <c r="D259" s="97">
        <f t="shared" ca="1" si="41"/>
        <v>40.508985605943508</v>
      </c>
      <c r="E259" s="97">
        <f t="shared" ca="1" si="45"/>
        <v>2150.1512897414773</v>
      </c>
      <c r="F259" s="98" t="str">
        <f t="shared" ca="1" si="46"/>
        <v>do nothing</v>
      </c>
      <c r="G259" s="77">
        <f t="shared" ca="1" si="42"/>
        <v>82.971688783107354</v>
      </c>
      <c r="H259" s="77">
        <f t="shared" ca="1" si="43"/>
        <v>19.277634017361578</v>
      </c>
      <c r="I259" s="77">
        <f t="shared" ca="1" si="47"/>
        <v>53.078378971454804</v>
      </c>
      <c r="J259" s="97">
        <f t="shared" ca="1" si="48"/>
        <v>40.508985605943508</v>
      </c>
      <c r="K259" s="97">
        <f t="shared" ca="1" si="49"/>
        <v>2150.1512897414773</v>
      </c>
      <c r="L259" s="114">
        <f t="shared" ca="1" si="50"/>
        <v>0</v>
      </c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2:33" s="82" customFormat="1" ht="17" customHeight="1" thickBot="1">
      <c r="B260" s="66">
        <f t="shared" si="51"/>
        <v>6</v>
      </c>
      <c r="C260" s="114">
        <f t="shared" ca="1" si="44"/>
        <v>56.174573054875268</v>
      </c>
      <c r="D260" s="97">
        <f t="shared" ca="1" si="41"/>
        <v>41.32397340102905</v>
      </c>
      <c r="E260" s="97">
        <f t="shared" ca="1" si="45"/>
        <v>2321.3565627338289</v>
      </c>
      <c r="F260" s="98" t="str">
        <f t="shared" ca="1" si="46"/>
        <v>do nothing</v>
      </c>
      <c r="G260" s="77">
        <f t="shared" ca="1" si="42"/>
        <v>86.263631844929265</v>
      </c>
      <c r="H260" s="77">
        <f t="shared" ca="1" si="43"/>
        <v>18.854144179078926</v>
      </c>
      <c r="I260" s="77">
        <f t="shared" ca="1" si="47"/>
        <v>56.174573054875268</v>
      </c>
      <c r="J260" s="97">
        <f t="shared" ca="1" si="48"/>
        <v>41.32397340102905</v>
      </c>
      <c r="K260" s="97">
        <f t="shared" ca="1" si="49"/>
        <v>2321.3565627338289</v>
      </c>
      <c r="L260" s="114">
        <f t="shared" ca="1" si="50"/>
        <v>0</v>
      </c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2:33" s="82" customFormat="1" ht="17" customHeight="1" thickBot="1">
      <c r="B261" s="66">
        <f t="shared" si="51"/>
        <v>7</v>
      </c>
      <c r="C261" s="114">
        <f t="shared" ca="1" si="44"/>
        <v>51.504838015213899</v>
      </c>
      <c r="D261" s="97">
        <f t="shared" ca="1" si="41"/>
        <v>41.947108232720502</v>
      </c>
      <c r="E261" s="97">
        <f t="shared" ca="1" si="45"/>
        <v>2160.4790147329149</v>
      </c>
      <c r="F261" s="98" t="str">
        <f t="shared" ca="1" si="46"/>
        <v>do nothing</v>
      </c>
      <c r="G261" s="77">
        <f t="shared" ca="1" si="42"/>
        <v>83.150978644891623</v>
      </c>
      <c r="H261" s="77">
        <f t="shared" ca="1" si="43"/>
        <v>21.345173026634939</v>
      </c>
      <c r="I261" s="77">
        <f t="shared" ca="1" si="47"/>
        <v>51.504838015213899</v>
      </c>
      <c r="J261" s="97">
        <f t="shared" ca="1" si="48"/>
        <v>41.947108232720502</v>
      </c>
      <c r="K261" s="97">
        <f t="shared" ca="1" si="49"/>
        <v>2160.4790147329149</v>
      </c>
      <c r="L261" s="114">
        <f t="shared" ca="1" si="50"/>
        <v>0</v>
      </c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2:33" s="82" customFormat="1" ht="17" customHeight="1" thickBot="1">
      <c r="B262" s="66">
        <f t="shared" si="51"/>
        <v>8</v>
      </c>
      <c r="C262" s="114">
        <f t="shared" ca="1" si="44"/>
        <v>49.252159178384581</v>
      </c>
      <c r="D262" s="97">
        <f t="shared" ca="1" si="41"/>
        <v>40.056519854541556</v>
      </c>
      <c r="E262" s="97">
        <f t="shared" ca="1" si="45"/>
        <v>1972.870092008003</v>
      </c>
      <c r="F262" s="98" t="str">
        <f t="shared" ca="1" si="46"/>
        <v>do nothing</v>
      </c>
      <c r="G262" s="77">
        <f t="shared" ca="1" si="42"/>
        <v>79.458247197249221</v>
      </c>
      <c r="H262" s="77">
        <f t="shared" ca="1" si="43"/>
        <v>20.355656183187712</v>
      </c>
      <c r="I262" s="77">
        <f t="shared" ca="1" si="47"/>
        <v>49.252159178384581</v>
      </c>
      <c r="J262" s="97">
        <f t="shared" ca="1" si="48"/>
        <v>40.056519854541556</v>
      </c>
      <c r="K262" s="97">
        <f t="shared" ca="1" si="49"/>
        <v>1972.870092008003</v>
      </c>
      <c r="L262" s="114">
        <f t="shared" ca="1" si="50"/>
        <v>0</v>
      </c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2:33" s="82" customFormat="1" ht="17" customHeight="1" thickBot="1">
      <c r="B263" s="66">
        <f t="shared" si="51"/>
        <v>9</v>
      </c>
      <c r="C263" s="114">
        <f t="shared" ca="1" si="44"/>
        <v>47.70818281277937</v>
      </c>
      <c r="D263" s="97">
        <f t="shared" ca="1" si="41"/>
        <v>37.675448865983007</v>
      </c>
      <c r="E263" s="97">
        <f t="shared" ca="1" si="45"/>
        <v>1797.4272020518385</v>
      </c>
      <c r="F263" s="98" t="str">
        <f t="shared" ca="1" si="46"/>
        <v>buy</v>
      </c>
      <c r="G263" s="77">
        <f t="shared" ca="1" si="42"/>
        <v>77.101362803971767</v>
      </c>
      <c r="H263" s="77">
        <f t="shared" ca="1" si="43"/>
        <v>18.592175740871255</v>
      </c>
      <c r="I263" s="77">
        <f t="shared" ca="1" si="47"/>
        <v>48.757655885917089</v>
      </c>
      <c r="J263" s="97">
        <f t="shared" ca="1" si="48"/>
        <v>38.095238095238095</v>
      </c>
      <c r="K263" s="97">
        <f t="shared" ca="1" si="49"/>
        <v>1857.4345099396985</v>
      </c>
      <c r="L263" s="114">
        <f t="shared" ca="1" si="50"/>
        <v>1.0494730731377189</v>
      </c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2:33" s="82" customFormat="1" ht="17" customHeight="1" thickBot="1">
      <c r="B264" s="66">
        <v>10</v>
      </c>
      <c r="C264" s="114">
        <f t="shared" ca="1" si="44"/>
        <v>52.790826619811824</v>
      </c>
      <c r="D264" s="97">
        <f t="shared" ca="1" si="41"/>
        <v>40.800444742895046</v>
      </c>
      <c r="E264" s="97">
        <f t="shared" ca="1" si="45"/>
        <v>2153.8892044333852</v>
      </c>
      <c r="F264" s="98" t="str">
        <f t="shared" ca="1" si="46"/>
        <v>do nothing</v>
      </c>
      <c r="G264" s="77">
        <f t="shared" ca="1" si="42"/>
        <v>83.033106038744506</v>
      </c>
      <c r="H264" s="77">
        <f t="shared" ca="1" si="43"/>
        <v>19.684114094970305</v>
      </c>
      <c r="I264" s="77">
        <f t="shared" ca="1" si="47"/>
        <v>52.790826619811824</v>
      </c>
      <c r="J264" s="97">
        <f t="shared" ca="1" si="48"/>
        <v>40.800444742895046</v>
      </c>
      <c r="K264" s="97">
        <f t="shared" ca="1" si="49"/>
        <v>2153.8892044333852</v>
      </c>
      <c r="L264" s="114">
        <f t="shared" ca="1" si="50"/>
        <v>0</v>
      </c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2:33" s="82" customFormat="1" ht="17" customHeight="1" thickBot="1">
      <c r="B265" s="66">
        <v>11</v>
      </c>
      <c r="C265" s="114">
        <f t="shared" ca="1" si="44"/>
        <v>52.004572091382542</v>
      </c>
      <c r="D265" s="97">
        <f t="shared" ca="1" si="41"/>
        <v>42.179499382377607</v>
      </c>
      <c r="E265" s="97">
        <f t="shared" ca="1" si="45"/>
        <v>2193.5268164092818</v>
      </c>
      <c r="F265" s="98" t="str">
        <f t="shared" ca="1" si="46"/>
        <v>sell</v>
      </c>
      <c r="G265" s="77">
        <f t="shared" ca="1" si="42"/>
        <v>83.783157055483642</v>
      </c>
      <c r="H265" s="77">
        <f t="shared" ca="1" si="43"/>
        <v>21.108421472258179</v>
      </c>
      <c r="I265" s="77">
        <f t="shared" ca="1" si="47"/>
        <v>52.228946319354542</v>
      </c>
      <c r="J265" s="97">
        <f t="shared" ca="1" si="48"/>
        <v>42</v>
      </c>
      <c r="K265" s="97">
        <f t="shared" ca="1" si="49"/>
        <v>2193.6157454128906</v>
      </c>
      <c r="L265" s="114">
        <f t="shared" ca="1" si="50"/>
        <v>-0.22437422797199957</v>
      </c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2:33" s="82" customFormat="1" ht="17" customHeight="1" thickBot="1">
      <c r="B266" s="66">
        <v>12</v>
      </c>
      <c r="C266" s="114">
        <f t="shared" ca="1" si="44"/>
        <v>46.826222360190386</v>
      </c>
      <c r="D266" s="97">
        <f t="shared" ca="1" si="41"/>
        <v>37.474659413846673</v>
      </c>
      <c r="E266" s="97">
        <f t="shared" ca="1" si="45"/>
        <v>1754.7967345851862</v>
      </c>
      <c r="F266" s="98" t="str">
        <f t="shared" ca="1" si="46"/>
        <v>buy</v>
      </c>
      <c r="G266" s="77">
        <f t="shared" ca="1" si="42"/>
        <v>76.797373346173273</v>
      </c>
      <c r="H266" s="77">
        <f t="shared" ca="1" si="43"/>
        <v>18.744170469770506</v>
      </c>
      <c r="I266" s="77">
        <f t="shared" ca="1" si="47"/>
        <v>48.377669063668961</v>
      </c>
      <c r="J266" s="97">
        <f t="shared" ca="1" si="48"/>
        <v>38.095238095238095</v>
      </c>
      <c r="K266" s="97">
        <f t="shared" ca="1" si="49"/>
        <v>1842.9588214731032</v>
      </c>
      <c r="L266" s="114">
        <f t="shared" ca="1" si="50"/>
        <v>1.5514467034785753</v>
      </c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2:33" s="82" customFormat="1" ht="17" customHeight="1" thickBot="1">
      <c r="B267" s="66">
        <v>13</v>
      </c>
      <c r="C267" s="114">
        <f t="shared" ca="1" si="44"/>
        <v>45.322356671199124</v>
      </c>
      <c r="D267" s="97">
        <f t="shared" ca="1" si="41"/>
        <v>37.647362381310522</v>
      </c>
      <c r="E267" s="97">
        <f t="shared" ca="1" si="45"/>
        <v>1706.2671855756398</v>
      </c>
      <c r="F267" s="98" t="str">
        <f t="shared" ca="1" si="46"/>
        <v>buy</v>
      </c>
      <c r="G267" s="77">
        <f t="shared" ca="1" si="42"/>
        <v>75.248874860052553</v>
      </c>
      <c r="H267" s="77">
        <f t="shared" ca="1" si="43"/>
        <v>19.518419712830863</v>
      </c>
      <c r="I267" s="77">
        <f t="shared" ca="1" si="47"/>
        <v>46.44204595601807</v>
      </c>
      <c r="J267" s="97">
        <f t="shared" ca="1" si="48"/>
        <v>38.095238095238095</v>
      </c>
      <c r="K267" s="97">
        <f t="shared" ca="1" si="49"/>
        <v>1769.220798324498</v>
      </c>
      <c r="L267" s="114">
        <f t="shared" ca="1" si="50"/>
        <v>1.1196892848189464</v>
      </c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2:33" s="82" customFormat="1" ht="17" customHeight="1" thickBot="1">
      <c r="B268" s="66">
        <v>14</v>
      </c>
      <c r="C268" s="114">
        <f t="shared" ca="1" si="44"/>
        <v>44.261394580483383</v>
      </c>
      <c r="D268" s="97">
        <f t="shared" ca="1" si="41"/>
        <v>36.780123840799909</v>
      </c>
      <c r="E268" s="97">
        <f t="shared" ca="1" si="45"/>
        <v>1627.9395740366888</v>
      </c>
      <c r="F268" s="98" t="str">
        <f t="shared" ca="1" si="46"/>
        <v>buy</v>
      </c>
      <c r="G268" s="77">
        <f t="shared" ca="1" si="42"/>
        <v>76.134582268501191</v>
      </c>
      <c r="H268" s="77">
        <f t="shared" ca="1" si="43"/>
        <v>19.07556600860655</v>
      </c>
      <c r="I268" s="77">
        <f t="shared" ca="1" si="47"/>
        <v>47.549180216578861</v>
      </c>
      <c r="J268" s="97">
        <f t="shared" ca="1" si="48"/>
        <v>38.095238095238095</v>
      </c>
      <c r="K268" s="97">
        <f t="shared" ca="1" si="49"/>
        <v>1811.3973415839566</v>
      </c>
      <c r="L268" s="114">
        <f t="shared" ca="1" si="50"/>
        <v>3.287785636095478</v>
      </c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2:33" s="82" customFormat="1" ht="17" customHeight="1" thickBot="1">
      <c r="B269" s="66">
        <v>15</v>
      </c>
      <c r="C269" s="114">
        <f t="shared" ca="1" si="44"/>
        <v>56.43296809865015</v>
      </c>
      <c r="D269" s="97">
        <f t="shared" ca="1" si="41"/>
        <v>42.399311783597909</v>
      </c>
      <c r="E269" s="97">
        <f t="shared" ca="1" si="45"/>
        <v>2392.7190092885021</v>
      </c>
      <c r="F269" s="98" t="str">
        <f t="shared" ca="1" si="46"/>
        <v>sell</v>
      </c>
      <c r="G269" s="77">
        <f t="shared" ca="1" si="42"/>
        <v>87.545686262518032</v>
      </c>
      <c r="H269" s="77">
        <f t="shared" ca="1" si="43"/>
        <v>19.227156868740984</v>
      </c>
      <c r="I269" s="77">
        <f t="shared" ca="1" si="47"/>
        <v>56.932107828147537</v>
      </c>
      <c r="J269" s="97">
        <f t="shared" ca="1" si="48"/>
        <v>42</v>
      </c>
      <c r="K269" s="97">
        <f t="shared" ca="1" si="49"/>
        <v>2391.1485287821965</v>
      </c>
      <c r="L269" s="114">
        <f t="shared" ca="1" si="50"/>
        <v>-0.4991397294973865</v>
      </c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2:33" s="17" customFormat="1" ht="17" customHeight="1" thickBot="1">
      <c r="B270" s="66">
        <v>16</v>
      </c>
      <c r="C270" s="114">
        <f t="shared" ca="1" si="44"/>
        <v>50.819084641222084</v>
      </c>
      <c r="D270" s="97">
        <f t="shared" ca="1" si="41"/>
        <v>40.872666776015286</v>
      </c>
      <c r="E270" s="97">
        <f t="shared" ca="1" si="45"/>
        <v>2077.1115124027865</v>
      </c>
      <c r="F270" s="98" t="str">
        <f t="shared" ca="1" si="46"/>
        <v>do nothing</v>
      </c>
      <c r="G270" s="77">
        <f t="shared" ca="1" si="42"/>
        <v>81.527934488992955</v>
      </c>
      <c r="H270" s="77">
        <f t="shared" ca="1" si="43"/>
        <v>20.545032919526449</v>
      </c>
      <c r="I270" s="77">
        <f t="shared" ca="1" si="47"/>
        <v>50.819084641222084</v>
      </c>
      <c r="J270" s="97">
        <f t="shared" ca="1" si="48"/>
        <v>40.872666776015286</v>
      </c>
      <c r="K270" s="97">
        <f t="shared" ca="1" si="49"/>
        <v>2077.1115124027865</v>
      </c>
      <c r="L270" s="114">
        <f t="shared" ca="1" si="50"/>
        <v>0</v>
      </c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2:33" s="17" customFormat="1" ht="17" customHeight="1" thickBot="1">
      <c r="B271" s="66">
        <v>17</v>
      </c>
      <c r="C271" s="114">
        <f t="shared" ca="1" si="44"/>
        <v>52.514897610301091</v>
      </c>
      <c r="D271" s="97">
        <f t="shared" ca="1" si="41"/>
        <v>39.766995739517697</v>
      </c>
      <c r="E271" s="97">
        <f t="shared" ca="1" si="45"/>
        <v>2088.3597095300515</v>
      </c>
      <c r="F271" s="98" t="str">
        <f t="shared" ca="1" si="46"/>
        <v>do nothing</v>
      </c>
      <c r="G271" s="77">
        <f t="shared" ca="1" si="42"/>
        <v>81.778913827758572</v>
      </c>
      <c r="H271" s="77">
        <f t="shared" ca="1" si="43"/>
        <v>18.761036695397255</v>
      </c>
      <c r="I271" s="77">
        <f t="shared" ca="1" si="47"/>
        <v>52.514897610301091</v>
      </c>
      <c r="J271" s="97">
        <f t="shared" ca="1" si="48"/>
        <v>39.766995739517697</v>
      </c>
      <c r="K271" s="97">
        <f t="shared" ca="1" si="49"/>
        <v>2088.3597095300515</v>
      </c>
      <c r="L271" s="114">
        <f t="shared" ca="1" si="50"/>
        <v>0</v>
      </c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2:33" s="17" customFormat="1" ht="17" customHeight="1" thickBot="1">
      <c r="B272" s="66">
        <v>18</v>
      </c>
      <c r="C272" s="114">
        <f t="shared" ca="1" si="44"/>
        <v>53.975005568675712</v>
      </c>
      <c r="D272" s="97">
        <f t="shared" ca="1" si="41"/>
        <v>42.815624953498528</v>
      </c>
      <c r="E272" s="97">
        <f t="shared" ca="1" si="45"/>
        <v>2310.9735952914139</v>
      </c>
      <c r="F272" s="98" t="str">
        <f t="shared" ca="1" si="46"/>
        <v>sell</v>
      </c>
      <c r="G272" s="77">
        <f t="shared" ca="1" si="42"/>
        <v>85.9956294084391</v>
      </c>
      <c r="H272" s="77">
        <f t="shared" ca="1" si="43"/>
        <v>20.00218529578045</v>
      </c>
      <c r="I272" s="77">
        <f t="shared" ca="1" si="47"/>
        <v>54.994536760548868</v>
      </c>
      <c r="J272" s="97">
        <f t="shared" ca="1" si="48"/>
        <v>42</v>
      </c>
      <c r="K272" s="97">
        <f t="shared" ca="1" si="49"/>
        <v>2309.7705439430524</v>
      </c>
      <c r="L272" s="114">
        <f t="shared" ca="1" si="50"/>
        <v>-1.0195311918731562</v>
      </c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2:33" s="17" customFormat="1" ht="17" customHeight="1" thickBot="1">
      <c r="B273" s="66">
        <v>19</v>
      </c>
      <c r="C273" s="114">
        <f t="shared" ca="1" si="44"/>
        <v>42.95959526372981</v>
      </c>
      <c r="D273" s="97">
        <f t="shared" ca="1" si="41"/>
        <v>37.841187426202431</v>
      </c>
      <c r="E273" s="97">
        <f t="shared" ca="1" si="45"/>
        <v>1625.642096128598</v>
      </c>
      <c r="F273" s="98" t="str">
        <f t="shared" ca="1" si="46"/>
        <v>buy</v>
      </c>
      <c r="G273" s="77">
        <f t="shared" ca="1" si="42"/>
        <v>72.971015644293288</v>
      </c>
      <c r="H273" s="77">
        <f t="shared" ca="1" si="43"/>
        <v>20.657349320710502</v>
      </c>
      <c r="I273" s="77">
        <f t="shared" ca="1" si="47"/>
        <v>43.594721936318983</v>
      </c>
      <c r="J273" s="97">
        <f t="shared" ca="1" si="48"/>
        <v>38.095238095238095</v>
      </c>
      <c r="K273" s="97">
        <f t="shared" ca="1" si="49"/>
        <v>1660.7513118597708</v>
      </c>
      <c r="L273" s="114">
        <f t="shared" ca="1" si="50"/>
        <v>0.63512667258917332</v>
      </c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2:33" s="17" customFormat="1" ht="17" customHeight="1" thickBot="1">
      <c r="B274" s="66">
        <v>20</v>
      </c>
      <c r="C274" s="114">
        <f t="shared" ca="1" si="44"/>
        <v>57.912476868970671</v>
      </c>
      <c r="D274" s="97">
        <f t="shared" ca="1" si="41"/>
        <v>41.65900295594983</v>
      </c>
      <c r="E274" s="97">
        <f t="shared" ca="1" si="45"/>
        <v>2412.5760450708253</v>
      </c>
      <c r="F274" s="98" t="str">
        <f t="shared" ca="1" si="46"/>
        <v>do nothing</v>
      </c>
      <c r="G274" s="77">
        <f t="shared" ca="1" si="42"/>
        <v>87.98898445112637</v>
      </c>
      <c r="H274" s="77">
        <f t="shared" ca="1" si="43"/>
        <v>18.494012208361561</v>
      </c>
      <c r="I274" s="77">
        <f t="shared" ca="1" si="47"/>
        <v>57.912476868970671</v>
      </c>
      <c r="J274" s="97">
        <f t="shared" ca="1" si="48"/>
        <v>41.65900295594983</v>
      </c>
      <c r="K274" s="97">
        <f t="shared" ca="1" si="49"/>
        <v>2412.5760450708253</v>
      </c>
      <c r="L274" s="114">
        <f t="shared" ca="1" si="50"/>
        <v>0</v>
      </c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2:33" s="17" customFormat="1" ht="17" customHeight="1" thickBot="1">
      <c r="B275" s="275" t="s">
        <v>251</v>
      </c>
      <c r="C275" s="271">
        <f ca="1">AVERAGE(C255:C274)</f>
        <v>51.124172145738129</v>
      </c>
      <c r="D275" s="272">
        <f ca="1">AVERAGE(D255:D274)</f>
        <v>40.085163796228571</v>
      </c>
      <c r="E275" s="271">
        <f ca="1">AVERAGE(E255:E274)</f>
        <v>2056.1104432723996</v>
      </c>
      <c r="F275" s="273"/>
      <c r="G275" s="271">
        <f t="shared" ref="G275:L275" ca="1" si="52">AVERAGE(G255:G274)</f>
        <v>81.443112795026266</v>
      </c>
      <c r="H275" s="271">
        <f t="shared" ca="1" si="52"/>
        <v>19.530912228972763</v>
      </c>
      <c r="I275" s="271">
        <f t="shared" ca="1" si="52"/>
        <v>51.593500471711252</v>
      </c>
      <c r="J275" s="272">
        <f t="shared" ca="1" si="52"/>
        <v>40.168312417657269</v>
      </c>
      <c r="K275" s="272">
        <f t="shared" ca="1" si="52"/>
        <v>2077.4607126700007</v>
      </c>
      <c r="L275" s="271">
        <f t="shared" ca="1" si="52"/>
        <v>0.29502381103886749</v>
      </c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2:33" s="17" customFormat="1" ht="17" customHeight="1" thickBot="1">
      <c r="B276" s="275" t="s">
        <v>394</v>
      </c>
      <c r="C276" s="271">
        <f ca="1">STDEV(C255:C274)</f>
        <v>4.3774507912645388</v>
      </c>
      <c r="D276" s="271">
        <f ca="1">STDEV(D255:D274)</f>
        <v>1.8939536641222519</v>
      </c>
      <c r="E276" s="271">
        <f ca="1">STDEV(E255:E274)</f>
        <v>260.63024151614775</v>
      </c>
      <c r="F276" s="274"/>
      <c r="G276" s="274"/>
      <c r="H276" s="274"/>
      <c r="I276" s="271">
        <f ca="1">STDEV(I255:I274)</f>
        <v>3.970280839428098</v>
      </c>
      <c r="J276" s="271">
        <f ca="1">STDEV(J255:J274)</f>
        <v>1.5743786622820672</v>
      </c>
      <c r="K276" s="271">
        <f ca="1">STDEV(K255:K274)</f>
        <v>231.07867208685704</v>
      </c>
      <c r="L276" s="271">
        <f ca="1">STDEV(L255:L274)</f>
        <v>0.90533948596235592</v>
      </c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2:33" s="17" customFormat="1" ht="17" customHeight="1" thickBot="1">
      <c r="B277" s="275" t="s">
        <v>177</v>
      </c>
      <c r="C277" s="376">
        <f ca="1">C276/C275</f>
        <v>8.5623895850789958E-2</v>
      </c>
      <c r="D277" s="376">
        <f ca="1">D276/D275</f>
        <v>4.7248245604036808E-2</v>
      </c>
      <c r="E277" s="376">
        <f ca="1">E276/E275</f>
        <v>0.12675887249584805</v>
      </c>
      <c r="F277" s="274"/>
      <c r="G277" s="274"/>
      <c r="H277" s="274"/>
      <c r="I277" s="376">
        <f ca="1">I276/I275</f>
        <v>7.6953120124210322E-2</v>
      </c>
      <c r="J277" s="376">
        <f ca="1">J276/J275</f>
        <v>3.9194543348303544E-2</v>
      </c>
      <c r="K277" s="376">
        <f ca="1">K276/K275</f>
        <v>0.1112313078546113</v>
      </c>
      <c r="L277" s="376">
        <f ca="1">L276/L275</f>
        <v>3.0686997187595928</v>
      </c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2:33" ht="17" customHeight="1">
      <c r="B278" s="19"/>
      <c r="C278" s="100"/>
      <c r="D278" s="171"/>
      <c r="E278" s="171"/>
      <c r="F278" s="172"/>
      <c r="G278" s="172"/>
      <c r="H278" s="172"/>
      <c r="I278" s="172"/>
      <c r="J278" s="172"/>
      <c r="K278" s="172"/>
      <c r="L278" s="172"/>
    </row>
    <row r="279" spans="2:33" ht="17" customHeight="1">
      <c r="C279" s="19"/>
      <c r="D279" s="171"/>
      <c r="E279" s="173" t="s">
        <v>269</v>
      </c>
      <c r="F279" s="172"/>
      <c r="H279" s="172"/>
      <c r="I279" s="172"/>
      <c r="J279" s="251" t="s">
        <v>218</v>
      </c>
      <c r="K279" s="172"/>
      <c r="L279" s="172"/>
    </row>
    <row r="280" spans="2:33" ht="17" customHeight="1">
      <c r="C280" s="19"/>
      <c r="D280" s="100"/>
      <c r="E280" s="171"/>
      <c r="F280" s="171"/>
      <c r="G280" s="172"/>
      <c r="H280" s="172"/>
      <c r="I280" s="172"/>
      <c r="J280" s="172"/>
      <c r="K280" s="172"/>
      <c r="L280" s="172"/>
      <c r="M280" s="172"/>
    </row>
    <row r="281" spans="2:33" s="17" customFormat="1" ht="17" customHeight="1">
      <c r="C281" s="19"/>
      <c r="D281" s="100"/>
      <c r="E281" s="171"/>
      <c r="F281" s="171"/>
      <c r="G281" s="105"/>
      <c r="I281" s="105"/>
      <c r="J281" s="105"/>
      <c r="K281" s="105"/>
      <c r="L281" s="105"/>
      <c r="M281" s="105"/>
    </row>
    <row r="282" spans="2:33" s="248" customFormat="1" ht="1" customHeight="1">
      <c r="C282" s="243"/>
      <c r="D282" s="244"/>
      <c r="E282" s="245"/>
      <c r="F282" s="246"/>
      <c r="G282" s="246" t="s">
        <v>414</v>
      </c>
      <c r="H282" s="246" t="s">
        <v>415</v>
      </c>
      <c r="I282" s="246" t="s">
        <v>268</v>
      </c>
      <c r="J282" s="246" t="s">
        <v>267</v>
      </c>
      <c r="K282" s="247"/>
      <c r="L282" s="247"/>
      <c r="M282" s="247"/>
      <c r="N282" s="247"/>
    </row>
    <row r="283" spans="2:33" s="248" customFormat="1" ht="1" customHeight="1">
      <c r="C283" s="243"/>
      <c r="D283" s="244"/>
      <c r="E283" s="245"/>
      <c r="F283" s="249">
        <v>1</v>
      </c>
      <c r="G283" s="250">
        <f t="shared" ref="G283:G302" si="53">$E$246</f>
        <v>42</v>
      </c>
      <c r="H283" s="250">
        <f t="shared" ref="H283:H302" si="54">$E$247</f>
        <v>38.095238095238095</v>
      </c>
      <c r="I283" s="250">
        <f>H64</f>
        <v>41.34308157027408</v>
      </c>
      <c r="J283" s="250">
        <f t="shared" ref="J283:J302" si="55">J255</f>
        <v>41.34308157027408</v>
      </c>
      <c r="K283" s="247"/>
      <c r="L283" s="247"/>
      <c r="M283" s="247"/>
      <c r="N283" s="247"/>
    </row>
    <row r="284" spans="2:33" s="248" customFormat="1" ht="1" customHeight="1">
      <c r="C284" s="243"/>
      <c r="D284" s="244"/>
      <c r="E284" s="245"/>
      <c r="F284" s="249">
        <f>F283+1</f>
        <v>2</v>
      </c>
      <c r="G284" s="250">
        <f t="shared" si="53"/>
        <v>42</v>
      </c>
      <c r="H284" s="250">
        <f t="shared" si="54"/>
        <v>38.095238095238095</v>
      </c>
      <c r="I284" s="250">
        <f t="shared" ref="I284:I302" si="56">H65</f>
        <v>38.579438672813318</v>
      </c>
      <c r="J284" s="250">
        <f t="shared" si="55"/>
        <v>38.579438672813318</v>
      </c>
      <c r="K284" s="247"/>
      <c r="L284" s="247"/>
      <c r="M284" s="247"/>
      <c r="N284" s="247"/>
    </row>
    <row r="285" spans="2:33" s="248" customFormat="1" ht="1" customHeight="1">
      <c r="C285" s="243"/>
      <c r="D285" s="244"/>
      <c r="E285" s="245"/>
      <c r="F285" s="249">
        <f t="shared" ref="F285:F291" si="57">F284+1</f>
        <v>3</v>
      </c>
      <c r="G285" s="250">
        <f t="shared" si="53"/>
        <v>42</v>
      </c>
      <c r="H285" s="250">
        <f t="shared" si="54"/>
        <v>38.095238095238095</v>
      </c>
      <c r="I285" s="250">
        <f t="shared" ca="1" si="56"/>
        <v>41.372953664653522</v>
      </c>
      <c r="J285" s="250">
        <f t="shared" ca="1" si="55"/>
        <v>41.372953664653522</v>
      </c>
      <c r="K285" s="247"/>
      <c r="L285" s="247"/>
      <c r="M285" s="247"/>
      <c r="N285" s="247"/>
    </row>
    <row r="286" spans="2:33" s="248" customFormat="1" ht="1" customHeight="1">
      <c r="C286" s="243"/>
      <c r="D286" s="244"/>
      <c r="E286" s="245"/>
      <c r="F286" s="249">
        <f t="shared" si="57"/>
        <v>4</v>
      </c>
      <c r="G286" s="250">
        <f t="shared" si="53"/>
        <v>42</v>
      </c>
      <c r="H286" s="250">
        <f t="shared" si="54"/>
        <v>38.095238095238095</v>
      </c>
      <c r="I286" s="250">
        <f t="shared" ca="1" si="56"/>
        <v>38.658886660601574</v>
      </c>
      <c r="J286" s="250">
        <f t="shared" ca="1" si="55"/>
        <v>38.658886660601574</v>
      </c>
      <c r="K286" s="247"/>
      <c r="L286" s="247"/>
      <c r="M286" s="247"/>
      <c r="N286" s="247"/>
    </row>
    <row r="287" spans="2:33" s="248" customFormat="1" ht="1" customHeight="1">
      <c r="C287" s="243"/>
      <c r="D287" s="244"/>
      <c r="E287" s="245"/>
      <c r="F287" s="249">
        <f t="shared" si="57"/>
        <v>5</v>
      </c>
      <c r="G287" s="250">
        <f t="shared" si="53"/>
        <v>42</v>
      </c>
      <c r="H287" s="250">
        <f t="shared" si="54"/>
        <v>38.095238095238095</v>
      </c>
      <c r="I287" s="250">
        <f t="shared" ca="1" si="56"/>
        <v>40.508985605943508</v>
      </c>
      <c r="J287" s="250">
        <f t="shared" ca="1" si="55"/>
        <v>40.508985605943508</v>
      </c>
      <c r="K287" s="247"/>
      <c r="L287" s="247"/>
      <c r="M287" s="247"/>
      <c r="N287" s="247"/>
    </row>
    <row r="288" spans="2:33" s="248" customFormat="1" ht="1" customHeight="1">
      <c r="C288" s="243"/>
      <c r="D288" s="244"/>
      <c r="E288" s="245"/>
      <c r="F288" s="249">
        <f t="shared" si="57"/>
        <v>6</v>
      </c>
      <c r="G288" s="250">
        <f t="shared" si="53"/>
        <v>42</v>
      </c>
      <c r="H288" s="250">
        <f t="shared" si="54"/>
        <v>38.095238095238095</v>
      </c>
      <c r="I288" s="250">
        <f t="shared" ca="1" si="56"/>
        <v>41.32397340102905</v>
      </c>
      <c r="J288" s="250">
        <f t="shared" ca="1" si="55"/>
        <v>41.32397340102905</v>
      </c>
      <c r="K288" s="247"/>
      <c r="L288" s="247"/>
      <c r="M288" s="247"/>
      <c r="N288" s="247"/>
    </row>
    <row r="289" spans="3:14" s="248" customFormat="1" ht="1" customHeight="1">
      <c r="C289" s="243"/>
      <c r="D289" s="244"/>
      <c r="E289" s="245"/>
      <c r="F289" s="249">
        <f t="shared" si="57"/>
        <v>7</v>
      </c>
      <c r="G289" s="250">
        <f t="shared" si="53"/>
        <v>42</v>
      </c>
      <c r="H289" s="250">
        <f t="shared" si="54"/>
        <v>38.095238095238095</v>
      </c>
      <c r="I289" s="250">
        <f t="shared" ca="1" si="56"/>
        <v>41.947108232720502</v>
      </c>
      <c r="J289" s="250">
        <f t="shared" ca="1" si="55"/>
        <v>41.947108232720502</v>
      </c>
      <c r="K289" s="247"/>
      <c r="L289" s="247"/>
      <c r="M289" s="247"/>
      <c r="N289" s="247"/>
    </row>
    <row r="290" spans="3:14" s="248" customFormat="1" ht="1" customHeight="1">
      <c r="C290" s="243"/>
      <c r="D290" s="244"/>
      <c r="E290" s="245"/>
      <c r="F290" s="249">
        <f t="shared" si="57"/>
        <v>8</v>
      </c>
      <c r="G290" s="250">
        <f t="shared" si="53"/>
        <v>42</v>
      </c>
      <c r="H290" s="250">
        <f t="shared" si="54"/>
        <v>38.095238095238095</v>
      </c>
      <c r="I290" s="250">
        <f t="shared" ca="1" si="56"/>
        <v>40.056519854541556</v>
      </c>
      <c r="J290" s="250">
        <f t="shared" ca="1" si="55"/>
        <v>40.056519854541556</v>
      </c>
      <c r="K290" s="247"/>
      <c r="L290" s="247"/>
      <c r="M290" s="247"/>
      <c r="N290" s="247"/>
    </row>
    <row r="291" spans="3:14" s="248" customFormat="1" ht="1" customHeight="1">
      <c r="C291" s="243"/>
      <c r="D291" s="244"/>
      <c r="E291" s="245"/>
      <c r="F291" s="249">
        <f t="shared" si="57"/>
        <v>9</v>
      </c>
      <c r="G291" s="250">
        <f t="shared" si="53"/>
        <v>42</v>
      </c>
      <c r="H291" s="250">
        <f t="shared" si="54"/>
        <v>38.095238095238095</v>
      </c>
      <c r="I291" s="250">
        <f t="shared" ca="1" si="56"/>
        <v>37.675448865983007</v>
      </c>
      <c r="J291" s="250">
        <f t="shared" ca="1" si="55"/>
        <v>38.095238095238095</v>
      </c>
      <c r="K291" s="247"/>
      <c r="L291" s="247"/>
      <c r="M291" s="247"/>
      <c r="N291" s="247"/>
    </row>
    <row r="292" spans="3:14" s="248" customFormat="1" ht="1" customHeight="1">
      <c r="C292" s="243"/>
      <c r="D292" s="244"/>
      <c r="E292" s="245"/>
      <c r="F292" s="249">
        <v>10</v>
      </c>
      <c r="G292" s="250">
        <f t="shared" si="53"/>
        <v>42</v>
      </c>
      <c r="H292" s="250">
        <f t="shared" si="54"/>
        <v>38.095238095238095</v>
      </c>
      <c r="I292" s="250">
        <f t="shared" ca="1" si="56"/>
        <v>40.800444742895046</v>
      </c>
      <c r="J292" s="250">
        <f t="shared" ca="1" si="55"/>
        <v>40.800444742895046</v>
      </c>
      <c r="K292" s="247"/>
      <c r="L292" s="247"/>
      <c r="M292" s="247"/>
      <c r="N292" s="247"/>
    </row>
    <row r="293" spans="3:14" s="248" customFormat="1" ht="1" customHeight="1">
      <c r="C293" s="243"/>
      <c r="D293" s="244"/>
      <c r="E293" s="245"/>
      <c r="F293" s="249">
        <v>11</v>
      </c>
      <c r="G293" s="250">
        <f t="shared" si="53"/>
        <v>42</v>
      </c>
      <c r="H293" s="250">
        <f t="shared" si="54"/>
        <v>38.095238095238095</v>
      </c>
      <c r="I293" s="250">
        <f t="shared" ca="1" si="56"/>
        <v>42.179499382377607</v>
      </c>
      <c r="J293" s="250">
        <f t="shared" ca="1" si="55"/>
        <v>42</v>
      </c>
      <c r="K293" s="247"/>
      <c r="L293" s="247"/>
      <c r="M293" s="247"/>
      <c r="N293" s="247"/>
    </row>
    <row r="294" spans="3:14" s="248" customFormat="1" ht="1" customHeight="1">
      <c r="C294" s="243"/>
      <c r="D294" s="244"/>
      <c r="E294" s="245"/>
      <c r="F294" s="249">
        <v>12</v>
      </c>
      <c r="G294" s="250">
        <f t="shared" si="53"/>
        <v>42</v>
      </c>
      <c r="H294" s="250">
        <f t="shared" si="54"/>
        <v>38.095238095238095</v>
      </c>
      <c r="I294" s="250">
        <f t="shared" ca="1" si="56"/>
        <v>37.474659413846673</v>
      </c>
      <c r="J294" s="250">
        <f t="shared" ca="1" si="55"/>
        <v>38.095238095238095</v>
      </c>
      <c r="K294" s="247"/>
      <c r="L294" s="247"/>
      <c r="M294" s="247"/>
      <c r="N294" s="247"/>
    </row>
    <row r="295" spans="3:14" s="248" customFormat="1" ht="1" customHeight="1">
      <c r="C295" s="243"/>
      <c r="D295" s="244"/>
      <c r="E295" s="245"/>
      <c r="F295" s="249">
        <v>13</v>
      </c>
      <c r="G295" s="250">
        <f t="shared" si="53"/>
        <v>42</v>
      </c>
      <c r="H295" s="250">
        <f t="shared" si="54"/>
        <v>38.095238095238095</v>
      </c>
      <c r="I295" s="250">
        <f t="shared" ca="1" si="56"/>
        <v>37.647362381310522</v>
      </c>
      <c r="J295" s="250">
        <f t="shared" ca="1" si="55"/>
        <v>38.095238095238095</v>
      </c>
      <c r="K295" s="247"/>
      <c r="L295" s="247"/>
      <c r="M295" s="247"/>
      <c r="N295" s="247"/>
    </row>
    <row r="296" spans="3:14" s="248" customFormat="1" ht="1" customHeight="1">
      <c r="C296" s="243"/>
      <c r="D296" s="244"/>
      <c r="E296" s="245"/>
      <c r="F296" s="249">
        <v>14</v>
      </c>
      <c r="G296" s="250">
        <f t="shared" si="53"/>
        <v>42</v>
      </c>
      <c r="H296" s="250">
        <f t="shared" si="54"/>
        <v>38.095238095238095</v>
      </c>
      <c r="I296" s="250">
        <f t="shared" ca="1" si="56"/>
        <v>36.780123840799909</v>
      </c>
      <c r="J296" s="250">
        <f t="shared" ca="1" si="55"/>
        <v>38.095238095238095</v>
      </c>
      <c r="K296" s="247"/>
      <c r="L296" s="247"/>
      <c r="M296" s="247"/>
      <c r="N296" s="247"/>
    </row>
    <row r="297" spans="3:14" s="248" customFormat="1" ht="1" customHeight="1">
      <c r="C297" s="243"/>
      <c r="D297" s="244"/>
      <c r="E297" s="245"/>
      <c r="F297" s="249">
        <v>15</v>
      </c>
      <c r="G297" s="250">
        <f t="shared" si="53"/>
        <v>42</v>
      </c>
      <c r="H297" s="250">
        <f t="shared" si="54"/>
        <v>38.095238095238095</v>
      </c>
      <c r="I297" s="250">
        <f t="shared" ca="1" si="56"/>
        <v>42.399311783597909</v>
      </c>
      <c r="J297" s="250">
        <f t="shared" ca="1" si="55"/>
        <v>42</v>
      </c>
      <c r="K297" s="247"/>
      <c r="L297" s="247"/>
      <c r="M297" s="247"/>
      <c r="N297" s="247"/>
    </row>
    <row r="298" spans="3:14" s="248" customFormat="1" ht="1" customHeight="1">
      <c r="C298" s="243"/>
      <c r="D298" s="244"/>
      <c r="E298" s="245"/>
      <c r="F298" s="249">
        <v>16</v>
      </c>
      <c r="G298" s="250">
        <f t="shared" si="53"/>
        <v>42</v>
      </c>
      <c r="H298" s="250">
        <f t="shared" si="54"/>
        <v>38.095238095238095</v>
      </c>
      <c r="I298" s="250">
        <f t="shared" ca="1" si="56"/>
        <v>40.872666776015286</v>
      </c>
      <c r="J298" s="250">
        <f t="shared" ca="1" si="55"/>
        <v>40.872666776015286</v>
      </c>
      <c r="K298" s="247"/>
      <c r="L298" s="247"/>
      <c r="M298" s="247"/>
      <c r="N298" s="247"/>
    </row>
    <row r="299" spans="3:14" s="248" customFormat="1" ht="1" customHeight="1">
      <c r="C299" s="243"/>
      <c r="D299" s="244"/>
      <c r="E299" s="245"/>
      <c r="F299" s="249">
        <v>17</v>
      </c>
      <c r="G299" s="250">
        <f t="shared" si="53"/>
        <v>42</v>
      </c>
      <c r="H299" s="250">
        <f t="shared" si="54"/>
        <v>38.095238095238095</v>
      </c>
      <c r="I299" s="250">
        <f t="shared" ca="1" si="56"/>
        <v>39.766995739517697</v>
      </c>
      <c r="J299" s="250">
        <f t="shared" ca="1" si="55"/>
        <v>39.766995739517697</v>
      </c>
      <c r="K299" s="247"/>
      <c r="L299" s="247"/>
      <c r="M299" s="247"/>
      <c r="N299" s="247"/>
    </row>
    <row r="300" spans="3:14" s="248" customFormat="1" ht="1" customHeight="1">
      <c r="C300" s="243"/>
      <c r="D300" s="244"/>
      <c r="E300" s="245"/>
      <c r="F300" s="249">
        <v>18</v>
      </c>
      <c r="G300" s="250">
        <f t="shared" si="53"/>
        <v>42</v>
      </c>
      <c r="H300" s="250">
        <f t="shared" si="54"/>
        <v>38.095238095238095</v>
      </c>
      <c r="I300" s="250">
        <f t="shared" ca="1" si="56"/>
        <v>42.815624953498528</v>
      </c>
      <c r="J300" s="250">
        <f t="shared" ca="1" si="55"/>
        <v>42</v>
      </c>
      <c r="K300" s="247"/>
      <c r="L300" s="247"/>
      <c r="M300" s="247"/>
      <c r="N300" s="247"/>
    </row>
    <row r="301" spans="3:14" s="248" customFormat="1" ht="1" customHeight="1">
      <c r="C301" s="243"/>
      <c r="D301" s="244"/>
      <c r="E301" s="245"/>
      <c r="F301" s="249">
        <v>19</v>
      </c>
      <c r="G301" s="250">
        <f t="shared" si="53"/>
        <v>42</v>
      </c>
      <c r="H301" s="250">
        <f t="shared" si="54"/>
        <v>38.095238095238095</v>
      </c>
      <c r="I301" s="250">
        <f t="shared" ca="1" si="56"/>
        <v>37.841187426202431</v>
      </c>
      <c r="J301" s="250">
        <f t="shared" ca="1" si="55"/>
        <v>38.095238095238095</v>
      </c>
      <c r="K301" s="247"/>
      <c r="L301" s="247"/>
      <c r="M301" s="247"/>
      <c r="N301" s="247"/>
    </row>
    <row r="302" spans="3:14" s="248" customFormat="1" ht="1" customHeight="1">
      <c r="C302" s="243"/>
      <c r="D302" s="244"/>
      <c r="E302" s="245"/>
      <c r="F302" s="249">
        <v>20</v>
      </c>
      <c r="G302" s="250">
        <f t="shared" si="53"/>
        <v>42</v>
      </c>
      <c r="H302" s="250">
        <f t="shared" si="54"/>
        <v>38.095238095238095</v>
      </c>
      <c r="I302" s="250">
        <f t="shared" ca="1" si="56"/>
        <v>41.65900295594983</v>
      </c>
      <c r="J302" s="250">
        <f t="shared" ca="1" si="55"/>
        <v>41.65900295594983</v>
      </c>
      <c r="K302" s="247"/>
      <c r="L302" s="247"/>
      <c r="M302" s="247"/>
      <c r="N302" s="247"/>
    </row>
    <row r="303" spans="3:14" s="17" customFormat="1" ht="17" customHeight="1">
      <c r="C303" s="19"/>
      <c r="D303" s="100"/>
      <c r="E303" s="171"/>
      <c r="F303" s="171"/>
      <c r="G303" s="105"/>
      <c r="H303" s="105"/>
      <c r="I303" s="105"/>
      <c r="J303" s="105"/>
      <c r="K303" s="105"/>
      <c r="L303" s="105"/>
      <c r="M303" s="105"/>
    </row>
    <row r="304" spans="3:14" ht="17" customHeight="1">
      <c r="C304" s="19"/>
      <c r="D304" s="100"/>
      <c r="E304" s="171"/>
      <c r="F304" s="171"/>
      <c r="G304" s="172"/>
      <c r="H304" s="172"/>
      <c r="I304" s="172"/>
      <c r="J304" s="172"/>
      <c r="K304" s="172"/>
      <c r="L304" s="172"/>
      <c r="M304" s="172"/>
    </row>
    <row r="305" spans="2:13" ht="17" customHeight="1">
      <c r="C305" s="19"/>
      <c r="D305" s="100"/>
      <c r="E305" s="171"/>
      <c r="F305" s="171"/>
      <c r="G305" s="172"/>
      <c r="H305" s="172"/>
      <c r="I305" s="172"/>
      <c r="J305" s="172"/>
      <c r="K305" s="172"/>
      <c r="L305" s="172"/>
      <c r="M305" s="172"/>
    </row>
    <row r="306" spans="2:13" ht="17" customHeight="1">
      <c r="C306" s="19"/>
      <c r="D306" s="100"/>
      <c r="E306" s="171"/>
      <c r="F306" s="171"/>
      <c r="G306" s="172"/>
      <c r="H306" s="172"/>
      <c r="I306" s="172"/>
      <c r="J306" s="172"/>
      <c r="K306" s="172"/>
      <c r="L306" s="172"/>
      <c r="M306" s="172"/>
    </row>
    <row r="307" spans="2:13" ht="17" customHeight="1">
      <c r="C307" s="19"/>
      <c r="D307" s="100"/>
      <c r="E307" s="171"/>
      <c r="F307" s="171"/>
      <c r="G307" s="172"/>
      <c r="H307" s="172"/>
      <c r="I307" s="172"/>
      <c r="J307" s="172"/>
      <c r="K307" s="172"/>
      <c r="L307" s="172"/>
      <c r="M307" s="172"/>
    </row>
    <row r="308" spans="2:13" ht="17" customHeight="1">
      <c r="C308" s="13"/>
    </row>
    <row r="309" spans="2:13" ht="17" customHeight="1">
      <c r="C309" s="13"/>
    </row>
    <row r="310" spans="2:13" ht="17" customHeight="1">
      <c r="C310" s="13"/>
    </row>
    <row r="311" spans="2:13" ht="17" customHeight="1">
      <c r="C311" s="13"/>
    </row>
    <row r="312" spans="2:13" ht="17" customHeight="1">
      <c r="C312" s="13"/>
    </row>
    <row r="313" spans="2:13" ht="17" customHeight="1">
      <c r="C313" s="13"/>
    </row>
    <row r="314" spans="2:13" ht="17" customHeight="1">
      <c r="C314" s="13"/>
    </row>
    <row r="315" spans="2:13" ht="17" customHeight="1">
      <c r="C315" s="13"/>
    </row>
    <row r="316" spans="2:13" ht="17" customHeight="1">
      <c r="B316" s="1" t="s">
        <v>137</v>
      </c>
      <c r="C316" s="13"/>
    </row>
    <row r="317" spans="2:13" ht="17" customHeight="1">
      <c r="B317" s="1" t="s">
        <v>138</v>
      </c>
    </row>
    <row r="318" spans="2:13" ht="17" customHeight="1">
      <c r="B318" s="1" t="s">
        <v>139</v>
      </c>
    </row>
    <row r="319" spans="2:13" ht="17" customHeight="1" thickBot="1">
      <c r="C319" s="13"/>
      <c r="G319" s="2" t="s">
        <v>136</v>
      </c>
    </row>
    <row r="320" spans="2:13" ht="17" customHeight="1" thickBot="1">
      <c r="C320" s="297"/>
      <c r="D320" s="139"/>
      <c r="E320" s="153"/>
      <c r="F320" s="139"/>
      <c r="G320" s="154" t="s">
        <v>174</v>
      </c>
      <c r="H320" s="139"/>
      <c r="I320" s="139"/>
      <c r="J320" s="139"/>
      <c r="K320" s="155"/>
    </row>
    <row r="321" spans="2:12" ht="17" customHeight="1" thickBot="1">
      <c r="C321" s="13"/>
      <c r="D321" s="1"/>
      <c r="E321" s="10"/>
      <c r="F321" s="346" t="s">
        <v>152</v>
      </c>
      <c r="G321" s="346" t="s">
        <v>144</v>
      </c>
      <c r="H321" s="347" t="s">
        <v>181</v>
      </c>
    </row>
    <row r="322" spans="2:12" ht="17" customHeight="1" thickBot="1">
      <c r="C322" s="13"/>
      <c r="D322" s="1"/>
      <c r="E322" s="12" t="s">
        <v>179</v>
      </c>
      <c r="F322" s="339">
        <f t="shared" ref="F322:H323" ca="1" si="58">F192</f>
        <v>8.5623895850789958E-2</v>
      </c>
      <c r="G322" s="339">
        <f t="shared" ca="1" si="58"/>
        <v>4.7248245604036808E-2</v>
      </c>
      <c r="H322" s="339">
        <f t="shared" ca="1" si="58"/>
        <v>0.12675887249584805</v>
      </c>
    </row>
    <row r="323" spans="2:12" ht="17" customHeight="1" thickBot="1">
      <c r="C323" s="13"/>
      <c r="D323" s="1"/>
      <c r="E323" s="12" t="s">
        <v>175</v>
      </c>
      <c r="F323" s="339">
        <f t="shared" ca="1" si="58"/>
        <v>6.0286612931879167E-2</v>
      </c>
      <c r="G323" s="339">
        <f t="shared" si="58"/>
        <v>0</v>
      </c>
      <c r="H323" s="339">
        <f t="shared" ca="1" si="58"/>
        <v>6.028661293187916E-2</v>
      </c>
    </row>
    <row r="324" spans="2:12" ht="17" customHeight="1" thickBot="1">
      <c r="C324" s="13"/>
      <c r="D324" s="1"/>
      <c r="E324" s="12" t="s">
        <v>176</v>
      </c>
      <c r="F324" s="339">
        <f ca="1">I277</f>
        <v>7.6953120124210322E-2</v>
      </c>
      <c r="G324" s="339">
        <f ca="1">J277</f>
        <v>3.9194543348303544E-2</v>
      </c>
      <c r="H324" s="339">
        <f ca="1">K277</f>
        <v>0.1112313078546113</v>
      </c>
    </row>
    <row r="325" spans="2:12" ht="17" customHeight="1" thickBot="1">
      <c r="C325" s="13"/>
      <c r="D325" s="1"/>
      <c r="E325" s="12" t="s">
        <v>338</v>
      </c>
      <c r="F325" s="255">
        <f ca="1">(F323-F322)/F322</f>
        <v>-0.29591368936382062</v>
      </c>
      <c r="G325" s="255">
        <f ca="1">(G323-G322)/G322</f>
        <v>-1</v>
      </c>
      <c r="H325" s="255">
        <f ca="1">(H323-H322)/H322</f>
        <v>-0.52439926495990385</v>
      </c>
      <c r="I325" s="17" t="s">
        <v>16</v>
      </c>
    </row>
    <row r="326" spans="2:12" ht="17" customHeight="1" thickBot="1">
      <c r="C326" s="13"/>
      <c r="D326" s="1"/>
      <c r="E326" s="12" t="s">
        <v>337</v>
      </c>
      <c r="F326" s="255">
        <f ca="1">(F324-F322)/F322</f>
        <v>-0.10126583987359691</v>
      </c>
      <c r="G326" s="255">
        <f ca="1">(G324-G322)/G322</f>
        <v>-0.17045505399771224</v>
      </c>
      <c r="H326" s="255">
        <f ca="1">(H324-H322)/H322</f>
        <v>-0.12249686617988301</v>
      </c>
      <c r="I326" s="17" t="s">
        <v>15</v>
      </c>
    </row>
    <row r="327" spans="2:12" ht="17" customHeight="1">
      <c r="C327" s="13"/>
    </row>
    <row r="328" spans="2:12" ht="17" customHeight="1">
      <c r="B328" s="1" t="s">
        <v>20</v>
      </c>
      <c r="C328" s="13"/>
    </row>
    <row r="329" spans="2:12" ht="17" customHeight="1">
      <c r="B329" s="1" t="s">
        <v>21</v>
      </c>
      <c r="C329" s="13"/>
    </row>
    <row r="330" spans="2:12" ht="17" customHeight="1">
      <c r="B330" s="1" t="s">
        <v>3</v>
      </c>
      <c r="C330" s="13"/>
    </row>
    <row r="331" spans="2:12" ht="17" customHeight="1">
      <c r="B331" s="1" t="s">
        <v>4</v>
      </c>
      <c r="C331" s="13"/>
    </row>
    <row r="332" spans="2:12" ht="17" customHeight="1">
      <c r="B332" s="1" t="s">
        <v>107</v>
      </c>
      <c r="C332" s="13"/>
    </row>
    <row r="333" spans="2:12" ht="17" customHeight="1">
      <c r="B333" s="1" t="s">
        <v>108</v>
      </c>
      <c r="C333" s="13"/>
    </row>
    <row r="334" spans="2:12" ht="17" customHeight="1" thickBot="1">
      <c r="C334" s="13"/>
      <c r="D334" s="1"/>
      <c r="E334" s="10"/>
      <c r="F334" s="1"/>
      <c r="G334" s="133" t="s">
        <v>135</v>
      </c>
    </row>
    <row r="335" spans="2:12" ht="17" customHeight="1">
      <c r="C335" s="291"/>
      <c r="D335" s="93"/>
      <c r="E335" s="92"/>
      <c r="F335" s="93"/>
      <c r="G335" s="94" t="s">
        <v>416</v>
      </c>
      <c r="H335" s="93"/>
      <c r="I335" s="93"/>
      <c r="J335" s="93"/>
      <c r="K335" s="93"/>
      <c r="L335" s="141"/>
    </row>
    <row r="336" spans="2:12" ht="19" customHeight="1" thickBot="1">
      <c r="C336" s="311"/>
      <c r="D336" s="312"/>
      <c r="E336" s="313"/>
      <c r="F336" s="312"/>
      <c r="G336" s="314" t="s">
        <v>373</v>
      </c>
      <c r="H336" s="312"/>
      <c r="I336" s="312"/>
      <c r="J336" s="312"/>
      <c r="K336" s="312"/>
      <c r="L336" s="337"/>
    </row>
    <row r="337" spans="2:12" ht="19" customHeight="1" thickBot="1">
      <c r="C337" s="316">
        <f ca="1">MAX(L255:L274)</f>
        <v>3.287785636095478</v>
      </c>
      <c r="D337" s="315" t="str">
        <f>D124</f>
        <v xml:space="preserve"> = initial buffer quantity and credit:</v>
      </c>
      <c r="E337" s="318"/>
      <c r="F337" s="319"/>
      <c r="G337" s="320">
        <f ca="1">G124</f>
        <v>598.11526420963446</v>
      </c>
      <c r="H337" s="317"/>
      <c r="I337" s="321"/>
      <c r="J337" s="321"/>
      <c r="K337" s="321"/>
      <c r="L337" s="338"/>
    </row>
    <row r="338" spans="2:12">
      <c r="C338" s="325"/>
      <c r="D338" s="325"/>
      <c r="E338" s="328"/>
      <c r="F338" s="328"/>
      <c r="G338" s="328"/>
      <c r="H338" s="322" t="s">
        <v>278</v>
      </c>
      <c r="I338" s="158" t="s">
        <v>279</v>
      </c>
      <c r="J338" s="158" t="s">
        <v>285</v>
      </c>
      <c r="K338" s="158" t="s">
        <v>281</v>
      </c>
      <c r="L338" s="158" t="s">
        <v>281</v>
      </c>
    </row>
    <row r="339" spans="2:12">
      <c r="C339" s="326" t="s">
        <v>152</v>
      </c>
      <c r="D339" s="326" t="s">
        <v>152</v>
      </c>
      <c r="E339" s="158" t="s">
        <v>142</v>
      </c>
      <c r="F339" s="158" t="s">
        <v>142</v>
      </c>
      <c r="G339" s="158" t="s">
        <v>323</v>
      </c>
      <c r="H339" s="323" t="s">
        <v>280</v>
      </c>
      <c r="I339" s="157" t="s">
        <v>280</v>
      </c>
      <c r="J339" s="157" t="s">
        <v>282</v>
      </c>
      <c r="K339" s="157" t="s">
        <v>283</v>
      </c>
      <c r="L339" s="158" t="s">
        <v>282</v>
      </c>
    </row>
    <row r="340" spans="2:12" ht="17" thickBot="1">
      <c r="C340" s="327" t="s">
        <v>147</v>
      </c>
      <c r="D340" s="327" t="s">
        <v>252</v>
      </c>
      <c r="E340" s="183" t="s">
        <v>144</v>
      </c>
      <c r="F340" s="183" t="s">
        <v>141</v>
      </c>
      <c r="G340" s="183" t="s">
        <v>252</v>
      </c>
      <c r="H340" s="324" t="s">
        <v>405</v>
      </c>
      <c r="I340" s="183" t="s">
        <v>405</v>
      </c>
      <c r="J340" s="183" t="s">
        <v>405</v>
      </c>
      <c r="K340" s="183" t="s">
        <v>284</v>
      </c>
      <c r="L340" s="183" t="s">
        <v>405</v>
      </c>
    </row>
    <row r="341" spans="2:12" ht="14" customHeight="1" thickBot="1">
      <c r="B341" s="66">
        <v>1</v>
      </c>
      <c r="C341" s="254">
        <f>L255</f>
        <v>0</v>
      </c>
      <c r="D341" s="254">
        <f ca="1">C337+C341</f>
        <v>3.287785636095478</v>
      </c>
      <c r="E341" s="159">
        <f>J255</f>
        <v>41.34308157027408</v>
      </c>
      <c r="F341" s="159">
        <f t="shared" ref="F341:F360" si="59">-C341*E341</f>
        <v>0</v>
      </c>
      <c r="G341" s="160">
        <f ca="1">G337+F341</f>
        <v>598.11526420963446</v>
      </c>
      <c r="H341" s="159">
        <f>E209</f>
        <v>1960.9306204024333</v>
      </c>
      <c r="I341" s="159">
        <f>(G255-H255)*I255*0.5</f>
        <v>1960.9306204024333</v>
      </c>
      <c r="J341" s="159">
        <f>I341-H341</f>
        <v>0</v>
      </c>
      <c r="K341" s="159">
        <f>-L255*J255</f>
        <v>0</v>
      </c>
      <c r="L341" s="159">
        <f>J341+K341</f>
        <v>0</v>
      </c>
    </row>
    <row r="342" spans="2:12" ht="14" customHeight="1" thickBot="1">
      <c r="B342" s="66">
        <f>B341+1</f>
        <v>2</v>
      </c>
      <c r="C342" s="254">
        <f t="shared" ref="C342:C360" si="60">L256</f>
        <v>0</v>
      </c>
      <c r="D342" s="254">
        <f ca="1">D341+C342</f>
        <v>3.287785636095478</v>
      </c>
      <c r="E342" s="159">
        <f t="shared" ref="E342:E360" si="61">J256</f>
        <v>38.579438672813318</v>
      </c>
      <c r="F342" s="159">
        <f t="shared" si="59"/>
        <v>0</v>
      </c>
      <c r="G342" s="160">
        <f ca="1">G341+F342</f>
        <v>598.11526420963446</v>
      </c>
      <c r="H342" s="159">
        <f t="shared" ref="H342:H360" si="62">E210</f>
        <v>1366.8103819222515</v>
      </c>
      <c r="I342" s="159">
        <f>(G256-H256)*I256*0.5</f>
        <v>1366.8103819222515</v>
      </c>
      <c r="J342" s="159">
        <f t="shared" ref="J342:J360" si="63">I342-H342</f>
        <v>0</v>
      </c>
      <c r="K342" s="159">
        <f t="shared" ref="K342:K360" si="64">-L256*J256</f>
        <v>0</v>
      </c>
      <c r="L342" s="159">
        <f t="shared" ref="L342:L360" si="65">J342+K342</f>
        <v>0</v>
      </c>
    </row>
    <row r="343" spans="2:12" ht="14" customHeight="1" thickBot="1">
      <c r="B343" s="66">
        <f t="shared" ref="B343:B349" si="66">B342+1</f>
        <v>3</v>
      </c>
      <c r="C343" s="254">
        <f t="shared" ca="1" si="60"/>
        <v>0</v>
      </c>
      <c r="D343" s="254">
        <f t="shared" ref="D343:D360" ca="1" si="67">D342+C343</f>
        <v>3.287785636095478</v>
      </c>
      <c r="E343" s="159">
        <f t="shared" ca="1" si="61"/>
        <v>41.372953664653522</v>
      </c>
      <c r="F343" s="159">
        <f t="shared" ca="1" si="59"/>
        <v>0</v>
      </c>
      <c r="G343" s="160">
        <f t="shared" ref="G343:G360" ca="1" si="68">G342+F343</f>
        <v>598.11526420963446</v>
      </c>
      <c r="H343" s="159">
        <f t="shared" ca="1" si="62"/>
        <v>1804.6619410742358</v>
      </c>
      <c r="I343" s="159">
        <f t="shared" ref="I343:I360" ca="1" si="69">(G257-H257)*I257*0.5</f>
        <v>1804.6619410742358</v>
      </c>
      <c r="J343" s="159">
        <f t="shared" ca="1" si="63"/>
        <v>0</v>
      </c>
      <c r="K343" s="159">
        <f t="shared" ca="1" si="64"/>
        <v>0</v>
      </c>
      <c r="L343" s="159">
        <f t="shared" ca="1" si="65"/>
        <v>0</v>
      </c>
    </row>
    <row r="344" spans="2:12" ht="14" customHeight="1" thickBot="1">
      <c r="B344" s="66">
        <f t="shared" si="66"/>
        <v>4</v>
      </c>
      <c r="C344" s="254">
        <f t="shared" ca="1" si="60"/>
        <v>0</v>
      </c>
      <c r="D344" s="254">
        <f t="shared" ca="1" si="67"/>
        <v>3.287785636095478</v>
      </c>
      <c r="E344" s="159">
        <f t="shared" ca="1" si="61"/>
        <v>38.658886660601574</v>
      </c>
      <c r="F344" s="159">
        <f t="shared" ca="1" si="59"/>
        <v>0</v>
      </c>
      <c r="G344" s="160">
        <f t="shared" ca="1" si="68"/>
        <v>598.11526420963446</v>
      </c>
      <c r="H344" s="159">
        <f t="shared" ca="1" si="62"/>
        <v>1452.7302401115558</v>
      </c>
      <c r="I344" s="159">
        <f t="shared" ca="1" si="69"/>
        <v>1452.7302401115558</v>
      </c>
      <c r="J344" s="159">
        <f t="shared" ca="1" si="63"/>
        <v>0</v>
      </c>
      <c r="K344" s="159">
        <f t="shared" ca="1" si="64"/>
        <v>0</v>
      </c>
      <c r="L344" s="159">
        <f t="shared" ca="1" si="65"/>
        <v>0</v>
      </c>
    </row>
    <row r="345" spans="2:12" ht="14" customHeight="1" thickBot="1">
      <c r="B345" s="66">
        <f t="shared" si="66"/>
        <v>5</v>
      </c>
      <c r="C345" s="254">
        <f t="shared" ca="1" si="60"/>
        <v>0</v>
      </c>
      <c r="D345" s="254">
        <f t="shared" ca="1" si="67"/>
        <v>3.287785636095478</v>
      </c>
      <c r="E345" s="159">
        <f t="shared" ca="1" si="61"/>
        <v>40.508985605943508</v>
      </c>
      <c r="F345" s="159">
        <f t="shared" ca="1" si="59"/>
        <v>0</v>
      </c>
      <c r="G345" s="160">
        <f t="shared" ca="1" si="68"/>
        <v>598.11526420963446</v>
      </c>
      <c r="H345" s="159">
        <f t="shared" ca="1" si="62"/>
        <v>1690.3885885424256</v>
      </c>
      <c r="I345" s="159">
        <f t="shared" ca="1" si="69"/>
        <v>1690.3885885424256</v>
      </c>
      <c r="J345" s="159">
        <f t="shared" ca="1" si="63"/>
        <v>0</v>
      </c>
      <c r="K345" s="159">
        <f t="shared" ca="1" si="64"/>
        <v>0</v>
      </c>
      <c r="L345" s="159">
        <f t="shared" ca="1" si="65"/>
        <v>0</v>
      </c>
    </row>
    <row r="346" spans="2:12" ht="14" customHeight="1" thickBot="1">
      <c r="B346" s="66">
        <f t="shared" si="66"/>
        <v>6</v>
      </c>
      <c r="C346" s="254">
        <f t="shared" ca="1" si="60"/>
        <v>0</v>
      </c>
      <c r="D346" s="254">
        <f t="shared" ca="1" si="67"/>
        <v>3.287785636095478</v>
      </c>
      <c r="E346" s="159">
        <f t="shared" ca="1" si="61"/>
        <v>41.32397340102905</v>
      </c>
      <c r="F346" s="159">
        <f t="shared" ca="1" si="59"/>
        <v>0</v>
      </c>
      <c r="G346" s="160">
        <f t="shared" ca="1" si="68"/>
        <v>598.11526420963446</v>
      </c>
      <c r="H346" s="159">
        <f t="shared" ca="1" si="62"/>
        <v>1893.3495947385115</v>
      </c>
      <c r="I346" s="159">
        <f t="shared" ca="1" si="69"/>
        <v>1893.3495947385115</v>
      </c>
      <c r="J346" s="159">
        <f t="shared" ca="1" si="63"/>
        <v>0</v>
      </c>
      <c r="K346" s="159">
        <f t="shared" ca="1" si="64"/>
        <v>0</v>
      </c>
      <c r="L346" s="159">
        <f t="shared" ca="1" si="65"/>
        <v>0</v>
      </c>
    </row>
    <row r="347" spans="2:12" ht="14" customHeight="1" thickBot="1">
      <c r="B347" s="66">
        <f t="shared" si="66"/>
        <v>7</v>
      </c>
      <c r="C347" s="254">
        <f t="shared" ca="1" si="60"/>
        <v>0</v>
      </c>
      <c r="D347" s="254">
        <f t="shared" ca="1" si="67"/>
        <v>3.287785636095478</v>
      </c>
      <c r="E347" s="159">
        <f t="shared" ca="1" si="61"/>
        <v>41.947108232720502</v>
      </c>
      <c r="F347" s="159">
        <f t="shared" ca="1" si="59"/>
        <v>0</v>
      </c>
      <c r="G347" s="160">
        <f t="shared" ca="1" si="68"/>
        <v>598.11526420963446</v>
      </c>
      <c r="H347" s="159">
        <f t="shared" ca="1" si="62"/>
        <v>1591.6490033840539</v>
      </c>
      <c r="I347" s="159">
        <f t="shared" ca="1" si="69"/>
        <v>1591.6490033840539</v>
      </c>
      <c r="J347" s="159">
        <f t="shared" ca="1" si="63"/>
        <v>0</v>
      </c>
      <c r="K347" s="159">
        <f t="shared" ca="1" si="64"/>
        <v>0</v>
      </c>
      <c r="L347" s="159">
        <f t="shared" ca="1" si="65"/>
        <v>0</v>
      </c>
    </row>
    <row r="348" spans="2:12" ht="14" customHeight="1" thickBot="1">
      <c r="B348" s="66">
        <f t="shared" si="66"/>
        <v>8</v>
      </c>
      <c r="C348" s="254">
        <f t="shared" ca="1" si="60"/>
        <v>0</v>
      </c>
      <c r="D348" s="254">
        <f t="shared" ca="1" si="67"/>
        <v>3.287785636095478</v>
      </c>
      <c r="E348" s="159">
        <f t="shared" ca="1" si="61"/>
        <v>40.056519854541556</v>
      </c>
      <c r="F348" s="159">
        <f t="shared" ca="1" si="59"/>
        <v>0</v>
      </c>
      <c r="G348" s="160">
        <f t="shared" ca="1" si="68"/>
        <v>598.11526420963446</v>
      </c>
      <c r="H348" s="159">
        <f t="shared" ca="1" si="62"/>
        <v>1455.4651102397597</v>
      </c>
      <c r="I348" s="159">
        <f t="shared" ca="1" si="69"/>
        <v>1455.4651102397597</v>
      </c>
      <c r="J348" s="159">
        <f t="shared" ca="1" si="63"/>
        <v>0</v>
      </c>
      <c r="K348" s="159">
        <f t="shared" ca="1" si="64"/>
        <v>0</v>
      </c>
      <c r="L348" s="159">
        <f t="shared" ca="1" si="65"/>
        <v>0</v>
      </c>
    </row>
    <row r="349" spans="2:12" ht="14" customHeight="1" thickBot="1">
      <c r="B349" s="66">
        <f t="shared" si="66"/>
        <v>9</v>
      </c>
      <c r="C349" s="254">
        <f t="shared" ca="1" si="60"/>
        <v>1.0494730731377189</v>
      </c>
      <c r="D349" s="254">
        <f t="shared" ca="1" si="67"/>
        <v>4.3372587092331969</v>
      </c>
      <c r="E349" s="159">
        <f t="shared" ca="1" si="61"/>
        <v>38.095238095238095</v>
      </c>
      <c r="F349" s="159">
        <f t="shared" ca="1" si="59"/>
        <v>-39.979926595722624</v>
      </c>
      <c r="G349" s="160">
        <f t="shared" ca="1" si="68"/>
        <v>558.13533761391182</v>
      </c>
      <c r="H349" s="159">
        <f t="shared" ca="1" si="62"/>
        <v>1365.6424243785464</v>
      </c>
      <c r="I349" s="159">
        <f t="shared" ca="1" si="69"/>
        <v>1426.3854044937034</v>
      </c>
      <c r="J349" s="159">
        <f t="shared" ca="1" si="63"/>
        <v>60.742980115157025</v>
      </c>
      <c r="K349" s="159">
        <f t="shared" ca="1" si="64"/>
        <v>-39.979926595722624</v>
      </c>
      <c r="L349" s="159">
        <f t="shared" ca="1" si="65"/>
        <v>20.763053519434401</v>
      </c>
    </row>
    <row r="350" spans="2:12" ht="14" customHeight="1" thickBot="1">
      <c r="B350" s="66">
        <v>10</v>
      </c>
      <c r="C350" s="254">
        <f t="shared" ca="1" si="60"/>
        <v>0</v>
      </c>
      <c r="D350" s="254">
        <f t="shared" ca="1" si="67"/>
        <v>4.3372587092331969</v>
      </c>
      <c r="E350" s="159">
        <f t="shared" ca="1" si="61"/>
        <v>40.800444742895046</v>
      </c>
      <c r="F350" s="159">
        <f t="shared" ca="1" si="59"/>
        <v>0</v>
      </c>
      <c r="G350" s="160">
        <f t="shared" ca="1" si="68"/>
        <v>558.13533761391182</v>
      </c>
      <c r="H350" s="159">
        <f t="shared" ca="1" si="62"/>
        <v>1672.1228251218199</v>
      </c>
      <c r="I350" s="159">
        <f t="shared" ca="1" si="69"/>
        <v>1672.1228251218199</v>
      </c>
      <c r="J350" s="159">
        <f t="shared" ca="1" si="63"/>
        <v>0</v>
      </c>
      <c r="K350" s="159">
        <f t="shared" ca="1" si="64"/>
        <v>0</v>
      </c>
      <c r="L350" s="159">
        <f t="shared" ca="1" si="65"/>
        <v>0</v>
      </c>
    </row>
    <row r="351" spans="2:12" ht="14" customHeight="1" thickBot="1">
      <c r="B351" s="66">
        <v>11</v>
      </c>
      <c r="C351" s="254">
        <f t="shared" ca="1" si="60"/>
        <v>-0.22437422797199957</v>
      </c>
      <c r="D351" s="254">
        <f t="shared" ca="1" si="67"/>
        <v>4.1128844812611973</v>
      </c>
      <c r="E351" s="159">
        <f t="shared" ca="1" si="61"/>
        <v>42</v>
      </c>
      <c r="F351" s="159">
        <f t="shared" ca="1" si="59"/>
        <v>9.4237175748239821</v>
      </c>
      <c r="G351" s="160">
        <f t="shared" ca="1" si="68"/>
        <v>567.55905518873578</v>
      </c>
      <c r="H351" s="159">
        <f t="shared" ca="1" si="62"/>
        <v>1622.6853110446827</v>
      </c>
      <c r="I351" s="159">
        <f t="shared" ca="1" si="69"/>
        <v>1636.7177001780112</v>
      </c>
      <c r="J351" s="159">
        <f t="shared" ca="1" si="63"/>
        <v>14.032389133328479</v>
      </c>
      <c r="K351" s="159">
        <f t="shared" ca="1" si="64"/>
        <v>9.4237175748239821</v>
      </c>
      <c r="L351" s="159">
        <f t="shared" ca="1" si="65"/>
        <v>23.456106708152461</v>
      </c>
    </row>
    <row r="352" spans="2:12" ht="14" customHeight="1" thickBot="1">
      <c r="B352" s="66">
        <v>12</v>
      </c>
      <c r="C352" s="254">
        <f t="shared" ca="1" si="60"/>
        <v>1.5514467034785753</v>
      </c>
      <c r="D352" s="254">
        <f t="shared" ca="1" si="67"/>
        <v>5.6643311847397726</v>
      </c>
      <c r="E352" s="159">
        <f t="shared" ca="1" si="61"/>
        <v>38.095238095238095</v>
      </c>
      <c r="F352" s="159">
        <f t="shared" ca="1" si="59"/>
        <v>-59.102731561088582</v>
      </c>
      <c r="G352" s="160">
        <f t="shared" ca="1" si="68"/>
        <v>508.45632362764718</v>
      </c>
      <c r="H352" s="159">
        <f t="shared" ca="1" si="62"/>
        <v>1315.6170603155965</v>
      </c>
      <c r="I352" s="159">
        <f t="shared" ca="1" si="69"/>
        <v>1404.239318420324</v>
      </c>
      <c r="J352" s="159">
        <f t="shared" ca="1" si="63"/>
        <v>88.622258104727507</v>
      </c>
      <c r="K352" s="159">
        <f t="shared" ca="1" si="64"/>
        <v>-59.102731561088582</v>
      </c>
      <c r="L352" s="159">
        <f t="shared" ca="1" si="65"/>
        <v>29.519526543638925</v>
      </c>
    </row>
    <row r="353" spans="2:12" ht="14" customHeight="1" thickBot="1">
      <c r="B353" s="66">
        <v>13</v>
      </c>
      <c r="C353" s="254">
        <f t="shared" ca="1" si="60"/>
        <v>1.1196892848189464</v>
      </c>
      <c r="D353" s="254">
        <f t="shared" ca="1" si="67"/>
        <v>6.784020469558719</v>
      </c>
      <c r="E353" s="159">
        <f t="shared" ca="1" si="61"/>
        <v>38.095238095238095</v>
      </c>
      <c r="F353" s="159">
        <f t="shared" ca="1" si="59"/>
        <v>-42.654829897864623</v>
      </c>
      <c r="G353" s="160">
        <f t="shared" ca="1" si="68"/>
        <v>465.80149372978258</v>
      </c>
      <c r="H353" s="159">
        <f t="shared" ca="1" si="62"/>
        <v>1232.4696085388327</v>
      </c>
      <c r="I353" s="159">
        <f t="shared" ca="1" si="69"/>
        <v>1294.1181795485368</v>
      </c>
      <c r="J353" s="159">
        <f t="shared" ca="1" si="63"/>
        <v>61.648571009704028</v>
      </c>
      <c r="K353" s="159">
        <f t="shared" ca="1" si="64"/>
        <v>-42.654829897864623</v>
      </c>
      <c r="L353" s="159">
        <f t="shared" ca="1" si="65"/>
        <v>18.993741111839405</v>
      </c>
    </row>
    <row r="354" spans="2:12" ht="14" customHeight="1" thickBot="1">
      <c r="B354" s="66">
        <v>14</v>
      </c>
      <c r="C354" s="254">
        <f t="shared" ca="1" si="60"/>
        <v>3.287785636095478</v>
      </c>
      <c r="D354" s="254">
        <f t="shared" ca="1" si="67"/>
        <v>10.071806105654197</v>
      </c>
      <c r="E354" s="159">
        <f t="shared" ca="1" si="61"/>
        <v>38.095238095238095</v>
      </c>
      <c r="F354" s="159">
        <f t="shared" ca="1" si="59"/>
        <v>-125.24897661316106</v>
      </c>
      <c r="G354" s="160">
        <f t="shared" ca="1" si="68"/>
        <v>340.55251711662152</v>
      </c>
      <c r="H354" s="159">
        <f t="shared" ca="1" si="62"/>
        <v>1175.4426301255464</v>
      </c>
      <c r="I354" s="159">
        <f t="shared" ca="1" si="69"/>
        <v>1356.5547235612169</v>
      </c>
      <c r="J354" s="159">
        <f t="shared" ca="1" si="63"/>
        <v>181.11209343567043</v>
      </c>
      <c r="K354" s="159">
        <f t="shared" ca="1" si="64"/>
        <v>-125.24897661316106</v>
      </c>
      <c r="L354" s="159">
        <f t="shared" ca="1" si="65"/>
        <v>55.863116822509369</v>
      </c>
    </row>
    <row r="355" spans="2:12" ht="14" customHeight="1" thickBot="1">
      <c r="B355" s="66">
        <v>15</v>
      </c>
      <c r="C355" s="254">
        <f t="shared" ca="1" si="60"/>
        <v>-0.4991397294973865</v>
      </c>
      <c r="D355" s="254">
        <f t="shared" ca="1" si="67"/>
        <v>9.5726663761568105</v>
      </c>
      <c r="E355" s="159">
        <f t="shared" ca="1" si="61"/>
        <v>42</v>
      </c>
      <c r="F355" s="159">
        <f t="shared" ca="1" si="59"/>
        <v>20.963868638890233</v>
      </c>
      <c r="G355" s="160">
        <f t="shared" ca="1" si="68"/>
        <v>361.51638575551175</v>
      </c>
      <c r="H355" s="159">
        <f t="shared" ca="1" si="62"/>
        <v>1910.8079330539597</v>
      </c>
      <c r="I355" s="159">
        <f t="shared" ca="1" si="69"/>
        <v>1944.7589410534911</v>
      </c>
      <c r="J355" s="159">
        <f t="shared" ca="1" si="63"/>
        <v>33.951007999531384</v>
      </c>
      <c r="K355" s="159">
        <f t="shared" ca="1" si="64"/>
        <v>20.963868638890233</v>
      </c>
      <c r="L355" s="159">
        <f t="shared" ca="1" si="65"/>
        <v>54.914876638421617</v>
      </c>
    </row>
    <row r="356" spans="2:12" ht="14" customHeight="1" thickBot="1">
      <c r="B356" s="66">
        <v>16</v>
      </c>
      <c r="C356" s="254">
        <f t="shared" ca="1" si="60"/>
        <v>0</v>
      </c>
      <c r="D356" s="254">
        <f t="shared" ca="1" si="67"/>
        <v>9.5726663761568105</v>
      </c>
      <c r="E356" s="159">
        <f t="shared" ca="1" si="61"/>
        <v>40.872666776015286</v>
      </c>
      <c r="F356" s="159">
        <f t="shared" ca="1" si="59"/>
        <v>0</v>
      </c>
      <c r="G356" s="160">
        <f t="shared" ca="1" si="68"/>
        <v>361.51638575551175</v>
      </c>
      <c r="H356" s="159">
        <f t="shared" ca="1" si="62"/>
        <v>1549.5476182630166</v>
      </c>
      <c r="I356" s="159">
        <f t="shared" ca="1" si="69"/>
        <v>1549.5476182630166</v>
      </c>
      <c r="J356" s="159">
        <f t="shared" ca="1" si="63"/>
        <v>0</v>
      </c>
      <c r="K356" s="159">
        <f t="shared" ca="1" si="64"/>
        <v>0</v>
      </c>
      <c r="L356" s="159">
        <f t="shared" ca="1" si="65"/>
        <v>0</v>
      </c>
    </row>
    <row r="357" spans="2:12" ht="14" customHeight="1" thickBot="1">
      <c r="B357" s="66">
        <v>17</v>
      </c>
      <c r="C357" s="254">
        <f t="shared" ca="1" si="60"/>
        <v>0</v>
      </c>
      <c r="D357" s="254">
        <f t="shared" ca="1" si="67"/>
        <v>9.5726663761568105</v>
      </c>
      <c r="E357" s="159">
        <f t="shared" ca="1" si="61"/>
        <v>39.766995739517697</v>
      </c>
      <c r="F357" s="159">
        <f t="shared" ca="1" si="59"/>
        <v>0</v>
      </c>
      <c r="G357" s="160">
        <f t="shared" ca="1" si="68"/>
        <v>361.51638575551175</v>
      </c>
      <c r="H357" s="159">
        <f t="shared" ca="1" si="62"/>
        <v>1654.6886826122447</v>
      </c>
      <c r="I357" s="159">
        <f t="shared" ca="1" si="69"/>
        <v>1654.6886826122447</v>
      </c>
      <c r="J357" s="159">
        <f t="shared" ca="1" si="63"/>
        <v>0</v>
      </c>
      <c r="K357" s="159">
        <f t="shared" ca="1" si="64"/>
        <v>0</v>
      </c>
      <c r="L357" s="159">
        <f t="shared" ca="1" si="65"/>
        <v>0</v>
      </c>
    </row>
    <row r="358" spans="2:12" ht="14" customHeight="1" thickBot="1">
      <c r="B358" s="66">
        <v>18</v>
      </c>
      <c r="C358" s="254">
        <f t="shared" ca="1" si="60"/>
        <v>-1.0195311918731562</v>
      </c>
      <c r="D358" s="254">
        <f t="shared" ca="1" si="67"/>
        <v>8.5531351842836543</v>
      </c>
      <c r="E358" s="159">
        <f t="shared" ca="1" si="61"/>
        <v>42</v>
      </c>
      <c r="F358" s="159">
        <f t="shared" ca="1" si="59"/>
        <v>42.820310058672561</v>
      </c>
      <c r="G358" s="160">
        <f t="shared" ca="1" si="68"/>
        <v>404.33669581418428</v>
      </c>
      <c r="H358" s="159">
        <f t="shared" ca="1" si="62"/>
        <v>1747.9807356831448</v>
      </c>
      <c r="I358" s="159">
        <f t="shared" ca="1" si="69"/>
        <v>1814.6394441044167</v>
      </c>
      <c r="J358" s="159">
        <f t="shared" ca="1" si="63"/>
        <v>66.658708421271967</v>
      </c>
      <c r="K358" s="159">
        <f t="shared" ca="1" si="64"/>
        <v>42.820310058672561</v>
      </c>
      <c r="L358" s="159">
        <f t="shared" ca="1" si="65"/>
        <v>109.47901847994453</v>
      </c>
    </row>
    <row r="359" spans="2:12" ht="14" customHeight="1" thickBot="1">
      <c r="B359" s="66">
        <v>19</v>
      </c>
      <c r="C359" s="254">
        <f t="shared" ca="1" si="60"/>
        <v>0.63512667258917332</v>
      </c>
      <c r="D359" s="254">
        <f t="shared" ca="1" si="67"/>
        <v>9.1882618568728276</v>
      </c>
      <c r="E359" s="159">
        <f t="shared" ca="1" si="61"/>
        <v>38.095238095238095</v>
      </c>
      <c r="F359" s="159">
        <f t="shared" ca="1" si="59"/>
        <v>-24.195301812920889</v>
      </c>
      <c r="G359" s="160">
        <f t="shared" ca="1" si="68"/>
        <v>380.14139400126339</v>
      </c>
      <c r="H359" s="159">
        <f t="shared" ca="1" si="62"/>
        <v>1107.3160951340863</v>
      </c>
      <c r="I359" s="159">
        <f t="shared" ca="1" si="69"/>
        <v>1140.2998684229831</v>
      </c>
      <c r="J359" s="159">
        <f t="shared" ca="1" si="63"/>
        <v>32.983773288896828</v>
      </c>
      <c r="K359" s="159">
        <f t="shared" ca="1" si="64"/>
        <v>-24.195301812920889</v>
      </c>
      <c r="L359" s="159">
        <f t="shared" ca="1" si="65"/>
        <v>8.788471475975939</v>
      </c>
    </row>
    <row r="360" spans="2:12" ht="14" customHeight="1" thickBot="1">
      <c r="B360" s="66">
        <v>20</v>
      </c>
      <c r="C360" s="254">
        <f t="shared" ca="1" si="60"/>
        <v>0</v>
      </c>
      <c r="D360" s="254">
        <f t="shared" ca="1" si="67"/>
        <v>9.1882618568728276</v>
      </c>
      <c r="E360" s="159">
        <f t="shared" ca="1" si="61"/>
        <v>41.65900295594983</v>
      </c>
      <c r="F360" s="159">
        <f t="shared" ca="1" si="59"/>
        <v>0</v>
      </c>
      <c r="G360" s="160">
        <f t="shared" ca="1" si="68"/>
        <v>380.14139400126339</v>
      </c>
      <c r="H360" s="159">
        <f t="shared" ca="1" si="62"/>
        <v>2012.312986259438</v>
      </c>
      <c r="I360" s="159">
        <f t="shared" ca="1" si="69"/>
        <v>2012.312986259438</v>
      </c>
      <c r="J360" s="159">
        <f t="shared" ca="1" si="63"/>
        <v>0</v>
      </c>
      <c r="K360" s="159">
        <f t="shared" ca="1" si="64"/>
        <v>0</v>
      </c>
      <c r="L360" s="159">
        <f t="shared" ca="1" si="65"/>
        <v>0</v>
      </c>
    </row>
    <row r="361" spans="2:12" ht="14" customHeight="1" thickBot="1">
      <c r="B361" s="19" t="s">
        <v>251</v>
      </c>
      <c r="C361" s="351">
        <f t="shared" ref="C361:L361" ca="1" si="70">AVERAGE(C341:C360)</f>
        <v>0.29502381103886749</v>
      </c>
      <c r="D361" s="351">
        <f t="shared" ca="1" si="70"/>
        <v>5.8628751387471922</v>
      </c>
      <c r="E361" s="159">
        <f t="shared" ca="1" si="70"/>
        <v>40.168312417657269</v>
      </c>
      <c r="F361" s="159">
        <f t="shared" ca="1" si="70"/>
        <v>-10.898693510418552</v>
      </c>
      <c r="G361" s="159">
        <f t="shared" ca="1" si="70"/>
        <v>501.63654098254676</v>
      </c>
      <c r="H361" s="159">
        <f t="shared" ca="1" si="70"/>
        <v>1579.1309695473069</v>
      </c>
      <c r="I361" s="159">
        <f t="shared" ca="1" si="70"/>
        <v>1606.1185586227216</v>
      </c>
      <c r="J361" s="159">
        <f t="shared" ca="1" si="70"/>
        <v>26.987589075414384</v>
      </c>
      <c r="K361" s="159">
        <f t="shared" ca="1" si="70"/>
        <v>-10.898693510418552</v>
      </c>
      <c r="L361" s="159">
        <f t="shared" ca="1" si="70"/>
        <v>16.088895564995831</v>
      </c>
    </row>
    <row r="362" spans="2:12" ht="14" customHeight="1" thickBot="1">
      <c r="B362" s="19" t="s">
        <v>394</v>
      </c>
      <c r="C362" s="254">
        <f t="shared" ref="C362:L362" ca="1" si="71">STDEV(C341:C360)</f>
        <v>0.90533948596235592</v>
      </c>
      <c r="D362" s="254">
        <f ca="1">STDEV(D341:D360)</f>
        <v>2.8098580222535912</v>
      </c>
      <c r="E362" s="161">
        <f t="shared" ca="1" si="71"/>
        <v>1.5743786622820672</v>
      </c>
      <c r="F362" s="161">
        <f t="shared" ca="1" si="71"/>
        <v>34.920902716928488</v>
      </c>
      <c r="G362" s="161">
        <f t="shared" ca="1" si="71"/>
        <v>105.22263515972907</v>
      </c>
      <c r="H362" s="161">
        <f t="shared" ca="1" si="71"/>
        <v>266.39045604448506</v>
      </c>
      <c r="I362" s="161">
        <f t="shared" ca="1" si="71"/>
        <v>245.1952390911342</v>
      </c>
      <c r="J362" s="161">
        <f t="shared" ca="1" si="71"/>
        <v>46.146245371992826</v>
      </c>
      <c r="K362" s="161">
        <f t="shared" ca="1" si="71"/>
        <v>34.920902716928488</v>
      </c>
      <c r="L362" s="161">
        <f t="shared" ca="1" si="71"/>
        <v>28.317403043717917</v>
      </c>
    </row>
    <row r="363" spans="2:12" ht="14" customHeight="1" thickBot="1">
      <c r="B363" s="19" t="s">
        <v>395</v>
      </c>
      <c r="C363" s="162">
        <f t="shared" ref="C363:L363" ca="1" si="72">C362/C361</f>
        <v>3.0686997187595928</v>
      </c>
      <c r="D363" s="162">
        <f t="shared" ca="1" si="72"/>
        <v>0.47926281146318517</v>
      </c>
      <c r="E363" s="162">
        <f t="shared" ca="1" si="72"/>
        <v>3.9194543348303544E-2</v>
      </c>
      <c r="F363" s="162">
        <f t="shared" ca="1" si="72"/>
        <v>-3.2041365952300636</v>
      </c>
      <c r="G363" s="162">
        <f t="shared" ca="1" si="72"/>
        <v>0.20975871285937686</v>
      </c>
      <c r="H363" s="162">
        <f t="shared" ca="1" si="72"/>
        <v>0.16869433959670352</v>
      </c>
      <c r="I363" s="162">
        <f t="shared" ca="1" si="72"/>
        <v>0.15266322512417388</v>
      </c>
      <c r="J363" s="162">
        <f t="shared" ca="1" si="72"/>
        <v>1.7099061810612761</v>
      </c>
      <c r="K363" s="162">
        <f t="shared" ca="1" si="72"/>
        <v>-3.2041365952300636</v>
      </c>
      <c r="L363" s="162">
        <f t="shared" ca="1" si="72"/>
        <v>1.7600588511076742</v>
      </c>
    </row>
    <row r="364" spans="2:12" ht="17" customHeight="1">
      <c r="C364" s="13"/>
    </row>
    <row r="365" spans="2:12" ht="17" customHeight="1">
      <c r="C365" s="13" t="s">
        <v>153</v>
      </c>
    </row>
    <row r="366" spans="2:12" ht="17" customHeight="1">
      <c r="C366" s="13" t="s">
        <v>161</v>
      </c>
      <c r="K366" s="172"/>
      <c r="L366" s="172"/>
    </row>
    <row r="367" spans="2:12" ht="17" customHeight="1">
      <c r="C367" s="13" t="s">
        <v>424</v>
      </c>
    </row>
    <row r="368" spans="2:12" ht="17" customHeight="1">
      <c r="C368" s="13" t="s">
        <v>425</v>
      </c>
    </row>
    <row r="369" spans="2:10" ht="17" customHeight="1">
      <c r="C369" s="13" t="s">
        <v>305</v>
      </c>
    </row>
    <row r="370" spans="2:10" ht="17" customHeight="1">
      <c r="C370" s="13" t="s">
        <v>306</v>
      </c>
    </row>
    <row r="371" spans="2:10" ht="17" customHeight="1">
      <c r="C371" s="13" t="s">
        <v>86</v>
      </c>
    </row>
    <row r="372" spans="2:10" ht="17" customHeight="1">
      <c r="C372" s="13" t="s">
        <v>87</v>
      </c>
    </row>
    <row r="373" spans="2:10" ht="17" customHeight="1">
      <c r="B373" s="65"/>
      <c r="D373" s="1"/>
      <c r="E373" s="10"/>
      <c r="F373" s="1"/>
    </row>
    <row r="374" spans="2:10" ht="17" customHeight="1">
      <c r="B374" s="65">
        <v>4</v>
      </c>
      <c r="C374" s="65" t="s">
        <v>265</v>
      </c>
      <c r="D374" s="1"/>
      <c r="E374" s="10"/>
      <c r="F374" s="1"/>
    </row>
    <row r="375" spans="2:10" ht="17" customHeight="1">
      <c r="B375" s="65"/>
      <c r="C375" s="13" t="s">
        <v>82</v>
      </c>
      <c r="D375" s="1"/>
      <c r="E375" s="10"/>
      <c r="F375" s="1"/>
    </row>
    <row r="376" spans="2:10" ht="17" customHeight="1">
      <c r="B376" s="65"/>
      <c r="C376" s="13" t="s">
        <v>22</v>
      </c>
      <c r="D376" s="1"/>
      <c r="E376" s="10"/>
      <c r="F376" s="1"/>
    </row>
    <row r="377" spans="2:10" ht="17" customHeight="1">
      <c r="B377" s="65"/>
      <c r="C377" s="13" t="s">
        <v>91</v>
      </c>
      <c r="D377" s="1"/>
      <c r="E377" s="10"/>
      <c r="F377" s="1"/>
    </row>
    <row r="378" spans="2:10" ht="17" customHeight="1">
      <c r="B378" s="65"/>
      <c r="C378" s="13" t="s">
        <v>23</v>
      </c>
      <c r="D378" s="1"/>
      <c r="E378" s="10"/>
      <c r="F378" s="1"/>
    </row>
    <row r="379" spans="2:10" ht="17" customHeight="1" thickBot="1">
      <c r="B379" s="65"/>
      <c r="C379" s="13" t="s">
        <v>324</v>
      </c>
      <c r="D379" s="1"/>
      <c r="E379" s="10"/>
      <c r="F379" s="1"/>
    </row>
    <row r="380" spans="2:10" s="17" customFormat="1" ht="17" customHeight="1" thickBot="1">
      <c r="B380" s="66"/>
      <c r="C380" s="217"/>
      <c r="D380" s="96"/>
      <c r="E380" s="220" t="s">
        <v>104</v>
      </c>
      <c r="F380" s="203"/>
      <c r="G380" s="95"/>
      <c r="H380" s="219" t="s">
        <v>24</v>
      </c>
      <c r="I380" s="96"/>
      <c r="J380" s="203"/>
    </row>
    <row r="381" spans="2:10" ht="17" customHeight="1" thickBot="1">
      <c r="B381" s="65"/>
      <c r="C381" s="198" t="str">
        <f>D45</f>
        <v>15. Pd =</v>
      </c>
      <c r="D381" s="199">
        <v>80</v>
      </c>
      <c r="E381" s="196">
        <v>-0.8</v>
      </c>
      <c r="F381" s="200" t="s">
        <v>234</v>
      </c>
      <c r="G381" s="202" t="s">
        <v>212</v>
      </c>
      <c r="H381" s="199">
        <f>$E$64</f>
        <v>87.077743790840032</v>
      </c>
      <c r="I381" s="196">
        <v>-0.8</v>
      </c>
      <c r="J381" s="203" t="s">
        <v>234</v>
      </c>
    </row>
    <row r="382" spans="2:10" ht="17" customHeight="1" thickBot="1">
      <c r="B382" s="65"/>
      <c r="C382" s="198" t="str">
        <f>D46</f>
        <v>16. Ps =</v>
      </c>
      <c r="D382" s="199">
        <v>20</v>
      </c>
      <c r="E382" s="215">
        <v>0.4</v>
      </c>
      <c r="F382" s="200" t="s">
        <v>235</v>
      </c>
      <c r="G382" s="206" t="s">
        <v>401</v>
      </c>
      <c r="H382" s="195">
        <f>$F$64</f>
        <v>18.475750459991104</v>
      </c>
      <c r="I382" s="214">
        <v>0.4</v>
      </c>
      <c r="J382" s="208" t="s">
        <v>235</v>
      </c>
    </row>
    <row r="383" spans="2:10" ht="17" customHeight="1" thickBot="1">
      <c r="B383" s="65"/>
      <c r="C383" s="198" t="str">
        <f>I46</f>
        <v>17. Qe =</v>
      </c>
      <c r="D383" s="201">
        <f>(D381-D382)/(-E381+E382)</f>
        <v>49.999999999999993</v>
      </c>
      <c r="E383" s="205" t="str">
        <f>I47</f>
        <v>18. Pe =</v>
      </c>
      <c r="F383" s="204">
        <f>D381+E381*D383</f>
        <v>40</v>
      </c>
      <c r="G383" s="198" t="s">
        <v>247</v>
      </c>
      <c r="H383" s="209">
        <f>(H381-H382)/(-I381+I382)</f>
        <v>57.168327775707432</v>
      </c>
      <c r="I383" s="205" t="s">
        <v>246</v>
      </c>
      <c r="J383" s="204">
        <f>H381+I381*H383</f>
        <v>41.34308157027408</v>
      </c>
    </row>
    <row r="384" spans="2:10" ht="17" customHeight="1" thickBot="1">
      <c r="B384" s="65"/>
      <c r="C384" s="202" t="str">
        <f>I48</f>
        <v>19. TR =</v>
      </c>
      <c r="D384" s="218">
        <f>D383*F383</f>
        <v>1999.9999999999998</v>
      </c>
      <c r="E384" s="176"/>
      <c r="F384" s="192"/>
      <c r="G384" s="202" t="s">
        <v>248</v>
      </c>
      <c r="H384" s="204">
        <f>H383*J383</f>
        <v>2363.514838467238</v>
      </c>
      <c r="I384" s="202" t="s">
        <v>325</v>
      </c>
      <c r="J384" s="210" t="str">
        <f>IF(H384&gt;D384,"Sell","Buy")</f>
        <v>Sell</v>
      </c>
    </row>
    <row r="385" spans="2:12" ht="17" customHeight="1">
      <c r="B385" s="65"/>
      <c r="C385" s="101"/>
      <c r="D385" s="352"/>
      <c r="E385" s="172"/>
      <c r="F385" s="172"/>
      <c r="G385" s="101"/>
      <c r="H385" s="352"/>
      <c r="I385" s="224"/>
      <c r="J385" s="354"/>
    </row>
    <row r="386" spans="2:12" ht="17" customHeight="1" thickBot="1">
      <c r="B386" s="65"/>
      <c r="C386" s="13" t="s">
        <v>213</v>
      </c>
      <c r="D386" s="1"/>
      <c r="E386" s="10"/>
      <c r="F386" s="1"/>
      <c r="I386" s="355">
        <f>D384</f>
        <v>1999.9999999999998</v>
      </c>
      <c r="J386" s="1" t="s">
        <v>326</v>
      </c>
    </row>
    <row r="387" spans="2:12" ht="17" customHeight="1">
      <c r="B387" s="65"/>
      <c r="C387" s="13" t="s">
        <v>327</v>
      </c>
      <c r="D387" s="1"/>
      <c r="F387" s="1"/>
    </row>
    <row r="388" spans="2:12" ht="17" customHeight="1">
      <c r="B388" s="65"/>
      <c r="C388" s="13" t="s">
        <v>328</v>
      </c>
      <c r="D388" s="1"/>
      <c r="F388" s="1"/>
    </row>
    <row r="389" spans="2:12" ht="17" customHeight="1">
      <c r="B389" s="65"/>
      <c r="C389" s="13" t="s">
        <v>169</v>
      </c>
      <c r="D389" s="1"/>
      <c r="F389" s="1"/>
    </row>
    <row r="390" spans="2:12" ht="17" customHeight="1" thickBot="1">
      <c r="B390" s="65"/>
      <c r="C390" s="13"/>
      <c r="D390" s="1"/>
      <c r="F390" s="1"/>
    </row>
    <row r="391" spans="2:12" ht="21" customHeight="1" thickBot="1">
      <c r="B391" s="65"/>
      <c r="C391" s="13" t="s">
        <v>170</v>
      </c>
      <c r="D391" s="1"/>
      <c r="E391" s="202" t="s">
        <v>248</v>
      </c>
      <c r="F391" s="195">
        <f>H381</f>
        <v>87.077743790840032</v>
      </c>
      <c r="G391" s="96" t="s">
        <v>88</v>
      </c>
      <c r="H391" s="196">
        <f>I381</f>
        <v>-0.8</v>
      </c>
      <c r="I391" s="176" t="s">
        <v>171</v>
      </c>
      <c r="J391" s="216">
        <f>$D$384</f>
        <v>1999.9999999999998</v>
      </c>
      <c r="K391" s="1" t="s">
        <v>172</v>
      </c>
    </row>
    <row r="392" spans="2:12" ht="17" customHeight="1" thickBot="1">
      <c r="B392" s="65"/>
      <c r="C392" s="13"/>
      <c r="D392" s="172"/>
      <c r="E392" s="226" t="s">
        <v>97</v>
      </c>
      <c r="F392" s="207"/>
      <c r="G392" s="224" t="s">
        <v>98</v>
      </c>
      <c r="H392" s="196"/>
      <c r="I392" s="225" t="s">
        <v>99</v>
      </c>
      <c r="J392" s="227"/>
    </row>
    <row r="393" spans="2:12" ht="21" customHeight="1" thickBot="1">
      <c r="B393" s="65"/>
      <c r="C393" s="13"/>
      <c r="D393" s="1"/>
      <c r="E393" s="194">
        <f>-H391</f>
        <v>0.8</v>
      </c>
      <c r="F393" s="177" t="s">
        <v>171</v>
      </c>
      <c r="G393" s="207">
        <f>-F391</f>
        <v>-87.077743790840032</v>
      </c>
      <c r="H393" s="196" t="s">
        <v>88</v>
      </c>
      <c r="I393" s="211">
        <f>J391</f>
        <v>1999.9999999999998</v>
      </c>
      <c r="J393" s="197">
        <v>0</v>
      </c>
    </row>
    <row r="394" spans="2:12" ht="17" customHeight="1" thickBot="1">
      <c r="B394" s="65"/>
      <c r="C394" s="13"/>
      <c r="D394" s="1"/>
      <c r="F394" s="205" t="s">
        <v>89</v>
      </c>
      <c r="G394" s="197">
        <f>(-$G$393+SQRT(($G$393^2)-4*$E$393*$I$393))/(2*$E$393)</f>
        <v>75.916080052105258</v>
      </c>
      <c r="H394" s="193" t="s">
        <v>92</v>
      </c>
      <c r="L394" s="222"/>
    </row>
    <row r="395" spans="2:12" ht="17" customHeight="1" thickBot="1">
      <c r="B395" s="65"/>
      <c r="C395" s="13"/>
      <c r="D395" s="1"/>
      <c r="F395" s="205" t="s">
        <v>90</v>
      </c>
      <c r="G395" s="197">
        <f>(-$G$393-SQRT(($G$393^2)-4*$E$393*$I$393))/(2*$E$393)</f>
        <v>32.931099686444774</v>
      </c>
    </row>
    <row r="396" spans="2:12" ht="17" customHeight="1" thickBot="1">
      <c r="B396" s="65"/>
      <c r="C396" s="13" t="s">
        <v>173</v>
      </c>
      <c r="D396" s="1"/>
      <c r="F396" s="167"/>
      <c r="G396" s="99"/>
    </row>
    <row r="397" spans="2:12" ht="17" customHeight="1" thickBot="1">
      <c r="B397" s="65"/>
      <c r="C397" s="13"/>
      <c r="D397" s="1"/>
      <c r="E397" s="202" t="s">
        <v>400</v>
      </c>
      <c r="F397" s="199">
        <f>H381</f>
        <v>87.077743790840032</v>
      </c>
      <c r="G397" s="196">
        <f>I381</f>
        <v>-0.8</v>
      </c>
      <c r="H397" s="212">
        <f>G394</f>
        <v>75.916080052105258</v>
      </c>
      <c r="J397" s="221"/>
      <c r="K397" s="228"/>
    </row>
    <row r="398" spans="2:12" ht="17" customHeight="1" thickBot="1">
      <c r="B398" s="65"/>
      <c r="C398" s="13"/>
      <c r="D398" s="1"/>
      <c r="E398" s="202" t="s">
        <v>246</v>
      </c>
      <c r="F398" s="213">
        <f>F397+G397*H397</f>
        <v>26.344879749155822</v>
      </c>
      <c r="G398" s="198" t="s">
        <v>248</v>
      </c>
      <c r="H398" s="260">
        <f>G394*F398</f>
        <v>2000</v>
      </c>
    </row>
    <row r="399" spans="2:12" ht="17" customHeight="1" thickBot="1">
      <c r="B399" s="65"/>
      <c r="C399" s="13" t="s">
        <v>100</v>
      </c>
      <c r="D399" s="1"/>
      <c r="F399" s="1"/>
    </row>
    <row r="400" spans="2:12" s="230" customFormat="1" ht="17" customHeight="1" thickBot="1">
      <c r="B400" s="229"/>
      <c r="E400" s="181">
        <f>F398</f>
        <v>26.344879749155822</v>
      </c>
      <c r="F400" s="207" t="s">
        <v>101</v>
      </c>
      <c r="G400" s="207">
        <f>I382</f>
        <v>0.4</v>
      </c>
      <c r="H400" s="231">
        <f>G394</f>
        <v>75.916080052105258</v>
      </c>
    </row>
    <row r="401" spans="2:15" ht="17" customHeight="1" thickBot="1">
      <c r="B401" s="65"/>
      <c r="C401" s="202" t="s">
        <v>102</v>
      </c>
      <c r="D401" s="232">
        <f>E400-G400*H400</f>
        <v>-4.0215522716862822</v>
      </c>
      <c r="E401" s="95" t="s">
        <v>103</v>
      </c>
      <c r="F401" s="233">
        <f>D401</f>
        <v>-4.0215522716862822</v>
      </c>
      <c r="G401" s="215">
        <f>I382</f>
        <v>0.4</v>
      </c>
      <c r="H401" s="203" t="s">
        <v>88</v>
      </c>
    </row>
    <row r="402" spans="2:15" ht="17" customHeight="1">
      <c r="B402" s="65"/>
      <c r="C402" s="349" t="s">
        <v>25</v>
      </c>
      <c r="D402" s="235"/>
      <c r="E402" s="223"/>
      <c r="F402" s="239"/>
      <c r="G402" s="214"/>
      <c r="H402" s="223"/>
    </row>
    <row r="403" spans="2:15" ht="17" customHeight="1">
      <c r="B403" s="65"/>
      <c r="C403" s="143" t="s">
        <v>112</v>
      </c>
      <c r="D403" s="237"/>
      <c r="E403" s="105"/>
      <c r="F403" s="236"/>
      <c r="G403" s="350"/>
      <c r="H403" s="105"/>
    </row>
    <row r="404" spans="2:15" ht="17" customHeight="1">
      <c r="B404" s="65"/>
      <c r="C404" s="143" t="s">
        <v>113</v>
      </c>
      <c r="D404" s="237"/>
      <c r="E404" s="105"/>
      <c r="F404" s="236"/>
      <c r="G404" s="350"/>
      <c r="H404" s="105"/>
    </row>
    <row r="405" spans="2:15" ht="17" customHeight="1" thickBot="1">
      <c r="B405" s="65"/>
      <c r="C405" s="101"/>
      <c r="D405" s="237"/>
      <c r="E405" s="105"/>
      <c r="F405" s="236"/>
      <c r="G405" s="348" t="s">
        <v>219</v>
      </c>
      <c r="H405" s="105"/>
    </row>
    <row r="406" spans="2:15" ht="17" customHeight="1" thickBot="1">
      <c r="B406" s="65"/>
      <c r="C406" s="276"/>
      <c r="D406" s="277"/>
      <c r="E406" s="277"/>
      <c r="F406" s="278"/>
      <c r="G406" s="283" t="s">
        <v>417</v>
      </c>
      <c r="H406" s="279"/>
      <c r="I406" s="278"/>
      <c r="J406" s="93"/>
      <c r="K406" s="93"/>
      <c r="L406" s="141"/>
    </row>
    <row r="407" spans="2:15" ht="17" customHeight="1" thickBot="1">
      <c r="B407" s="65"/>
      <c r="C407" s="238"/>
      <c r="D407" s="330" t="s">
        <v>418</v>
      </c>
      <c r="E407" s="202" t="s">
        <v>400</v>
      </c>
      <c r="F407" s="233">
        <f>$E$45</f>
        <v>80</v>
      </c>
      <c r="G407" s="196">
        <f>$F$45</f>
        <v>-0.8</v>
      </c>
      <c r="H407" s="203" t="s">
        <v>234</v>
      </c>
      <c r="I407" s="223"/>
      <c r="J407" s="177"/>
      <c r="K407" s="98" t="s">
        <v>199</v>
      </c>
      <c r="L407" s="335" t="s">
        <v>144</v>
      </c>
    </row>
    <row r="408" spans="2:15" ht="17" customHeight="1" thickBot="1">
      <c r="B408" s="65"/>
      <c r="C408" s="281"/>
      <c r="D408" s="237"/>
      <c r="E408" s="238" t="s">
        <v>401</v>
      </c>
      <c r="F408" s="239">
        <f>$E$46</f>
        <v>20</v>
      </c>
      <c r="G408" s="214">
        <f>$F$46</f>
        <v>0.4</v>
      </c>
      <c r="H408" s="240" t="s">
        <v>235</v>
      </c>
      <c r="I408" s="105"/>
      <c r="J408" s="101" t="s">
        <v>132</v>
      </c>
      <c r="K408" s="333">
        <f ca="1">MAX(H414:H433)</f>
        <v>77.889462772640798</v>
      </c>
      <c r="L408" s="331">
        <f ca="1">MAX(I414:I433)</f>
        <v>40.439827415430315</v>
      </c>
    </row>
    <row r="409" spans="2:15" s="172" customFormat="1" ht="17" customHeight="1" thickBot="1">
      <c r="B409" s="234"/>
      <c r="C409" s="281"/>
      <c r="D409" s="237"/>
      <c r="E409" s="202" t="s">
        <v>247</v>
      </c>
      <c r="F409" s="241">
        <f>(F407-F408)/(-G407+G408)</f>
        <v>49.999999999999993</v>
      </c>
      <c r="G409" s="242" t="s">
        <v>246</v>
      </c>
      <c r="H409" s="204">
        <f>F407+G407*F409</f>
        <v>40</v>
      </c>
      <c r="I409" s="281"/>
      <c r="J409" s="345" t="s">
        <v>133</v>
      </c>
      <c r="K409" s="333">
        <f ca="1">MIN(H414:H433)</f>
        <v>49.45619523679953</v>
      </c>
      <c r="L409" s="331">
        <f ca="1">MIN(I414:I433)</f>
        <v>25.677414233013728</v>
      </c>
    </row>
    <row r="410" spans="2:15" s="17" customFormat="1" ht="17" customHeight="1" thickBot="1">
      <c r="B410" s="66"/>
      <c r="C410" s="282"/>
      <c r="D410" s="280"/>
      <c r="E410" s="202"/>
      <c r="F410" s="96"/>
      <c r="G410" s="284" t="s">
        <v>85</v>
      </c>
      <c r="H410" s="204">
        <f>F409*H409</f>
        <v>1999.9999999999998</v>
      </c>
      <c r="I410" s="280"/>
      <c r="J410" s="101" t="s">
        <v>134</v>
      </c>
      <c r="K410" s="334">
        <f ca="1">K408-K409</f>
        <v>28.433267535841267</v>
      </c>
      <c r="L410" s="332">
        <f ca="1">AVERAGE(L408:L409)</f>
        <v>33.058620824222018</v>
      </c>
    </row>
    <row r="411" spans="2:15" ht="17" customHeight="1">
      <c r="B411" s="65"/>
      <c r="C411" s="184" t="s">
        <v>250</v>
      </c>
      <c r="D411" s="185" t="s">
        <v>250</v>
      </c>
      <c r="E411" s="185" t="s">
        <v>250</v>
      </c>
      <c r="F411" s="120" t="s">
        <v>250</v>
      </c>
      <c r="G411" s="185" t="s">
        <v>237</v>
      </c>
      <c r="H411" s="185" t="s">
        <v>272</v>
      </c>
      <c r="I411" s="185" t="s">
        <v>272</v>
      </c>
      <c r="J411" s="185" t="s">
        <v>272</v>
      </c>
      <c r="K411" s="185" t="s">
        <v>272</v>
      </c>
      <c r="L411" s="185" t="s">
        <v>272</v>
      </c>
    </row>
    <row r="412" spans="2:15">
      <c r="B412" s="65"/>
      <c r="C412" s="186" t="s">
        <v>319</v>
      </c>
      <c r="D412" s="187" t="s">
        <v>83</v>
      </c>
      <c r="E412" s="187" t="s">
        <v>34</v>
      </c>
      <c r="F412" s="187" t="s">
        <v>412</v>
      </c>
      <c r="G412" s="187" t="s">
        <v>84</v>
      </c>
      <c r="H412" s="187" t="s">
        <v>34</v>
      </c>
      <c r="I412" s="187" t="s">
        <v>34</v>
      </c>
      <c r="J412" s="187" t="s">
        <v>319</v>
      </c>
      <c r="K412" s="187" t="s">
        <v>83</v>
      </c>
      <c r="L412" s="187" t="s">
        <v>412</v>
      </c>
    </row>
    <row r="413" spans="2:15" ht="17" customHeight="1" thickBot="1">
      <c r="B413" s="65"/>
      <c r="C413" s="188" t="s">
        <v>321</v>
      </c>
      <c r="D413" s="189" t="s">
        <v>321</v>
      </c>
      <c r="E413" s="189" t="s">
        <v>152</v>
      </c>
      <c r="F413" s="189" t="s">
        <v>413</v>
      </c>
      <c r="G413" s="189" t="s">
        <v>236</v>
      </c>
      <c r="H413" s="189" t="s">
        <v>152</v>
      </c>
      <c r="I413" s="189" t="s">
        <v>144</v>
      </c>
      <c r="J413" s="189" t="s">
        <v>321</v>
      </c>
      <c r="K413" s="189" t="s">
        <v>321</v>
      </c>
      <c r="L413" s="189" t="s">
        <v>413</v>
      </c>
    </row>
    <row r="414" spans="2:15" ht="17" customHeight="1" thickBot="1">
      <c r="B414" s="66">
        <v>1</v>
      </c>
      <c r="C414" s="77">
        <f t="shared" ref="C414:E415" si="73">E64</f>
        <v>87.077743790840032</v>
      </c>
      <c r="D414" s="77">
        <f t="shared" si="73"/>
        <v>18.475750459991104</v>
      </c>
      <c r="E414" s="77">
        <f t="shared" si="73"/>
        <v>57.168327775707432</v>
      </c>
      <c r="F414" s="97">
        <f>I64</f>
        <v>2363.514838467238</v>
      </c>
      <c r="G414" s="98" t="str">
        <f t="shared" ref="G414:G433" si="74">IF(F414&lt;$J$48,"buy",IF(F414&gt;$J$48,"sell","do nothing"))</f>
        <v>sell</v>
      </c>
      <c r="H414" s="77">
        <f t="shared" ref="H414:H433" si="75">IF(G414="sell",(MAX(((C414)+SQRT((C414^2)-4*(-$G$407)*($H$410)))/(2*(-$G$407)),((C414)-SQRT((C414^2)-4*(-$G$407)*($H$410)))/(2*(-$G$407)))),(MAX(((D414)+SQRT((D414^2)-4*(-$G$408)*($H$410)))/(2*(-$G$408)),((D414)-SQRT((D414^2)-4*(-$G$408)*($H$410)))/(2*(-$G$408)))))</f>
        <v>75.916080052105258</v>
      </c>
      <c r="I414" s="97">
        <f>IF(G414="sell",C414+$G$407*(H414),D414+$G$408*(H414))</f>
        <v>26.344879749155822</v>
      </c>
      <c r="J414" s="77">
        <f>IF(G414="sell",C414,(I414-$G$407*H414))</f>
        <v>87.077743790840032</v>
      </c>
      <c r="K414" s="77">
        <f>IF(G414="sell",I414-$G$408*H414,D414)</f>
        <v>-4.0215522716862822</v>
      </c>
      <c r="L414" s="23">
        <f>H414*I414</f>
        <v>2000</v>
      </c>
      <c r="O414" s="286"/>
    </row>
    <row r="415" spans="2:15" ht="17" customHeight="1" thickBot="1">
      <c r="B415" s="66">
        <f>B414+1</f>
        <v>2</v>
      </c>
      <c r="C415" s="77">
        <f t="shared" si="73"/>
        <v>76.762302290546359</v>
      </c>
      <c r="D415" s="77">
        <f t="shared" si="73"/>
        <v>19.488006863946794</v>
      </c>
      <c r="E415" s="77">
        <f t="shared" si="73"/>
        <v>47.728579522166299</v>
      </c>
      <c r="F415" s="97">
        <f>I65</f>
        <v>1841.3418066159084</v>
      </c>
      <c r="G415" s="98" t="str">
        <f t="shared" si="74"/>
        <v>buy</v>
      </c>
      <c r="H415" s="77">
        <f t="shared" si="75"/>
        <v>50.429095024899432</v>
      </c>
      <c r="I415" s="97">
        <f>IF(G415="sell",C415+$G$407*(H415),D415+$G$408*(H415))</f>
        <v>39.659644873906572</v>
      </c>
      <c r="J415" s="77">
        <f>IF(G415="sell",C415,(I415-$G$407*H415))</f>
        <v>80.002920893826115</v>
      </c>
      <c r="K415" s="77">
        <f>IF(G415="sell",I415-$G$408*H415,D415)</f>
        <v>19.488006863946794</v>
      </c>
      <c r="L415" s="23">
        <f>H415*I415</f>
        <v>2000.0000000000002</v>
      </c>
      <c r="O415" s="286"/>
    </row>
    <row r="416" spans="2:15" ht="17" customHeight="1" thickBot="1">
      <c r="B416" s="66">
        <f t="shared" ref="B416:B422" si="76">B415+1</f>
        <v>3</v>
      </c>
      <c r="C416" s="77">
        <f t="shared" ref="C416:C433" ca="1" si="77">E66</f>
        <v>85.247464911456618</v>
      </c>
      <c r="D416" s="77">
        <f t="shared" ref="D416:D433" ca="1" si="78">F66</f>
        <v>19.435698041251968</v>
      </c>
      <c r="E416" s="77">
        <f t="shared" ref="E416:E433" ca="1" si="79">G66</f>
        <v>54.843139058503866</v>
      </c>
      <c r="F416" s="97">
        <f t="shared" ref="F416:F433" ca="1" si="80">I66</f>
        <v>2269.0226510916305</v>
      </c>
      <c r="G416" s="98" t="str">
        <f t="shared" ca="1" si="74"/>
        <v>sell</v>
      </c>
      <c r="H416" s="77">
        <f t="shared" ca="1" si="75"/>
        <v>71.684087951654732</v>
      </c>
      <c r="I416" s="97">
        <f t="shared" ref="I416:I433" ca="1" si="81">IF(G416="sell",C416+$G$407*(H416),D416+$G$408*(H416))</f>
        <v>27.900194550132831</v>
      </c>
      <c r="J416" s="77">
        <f ca="1">IF(G416="sell",C416,(I416-$G$407*H416))</f>
        <v>85.247464911456618</v>
      </c>
      <c r="K416" s="77">
        <f ca="1">IF(G416="sell",I416-$G$408*H416,D416)</f>
        <v>-0.77344063052906264</v>
      </c>
      <c r="L416" s="23">
        <f t="shared" ref="L416:L433" ca="1" si="82">H416*I416</f>
        <v>1999.9999999999998</v>
      </c>
      <c r="O416" s="286"/>
    </row>
    <row r="417" spans="2:15" ht="17" customHeight="1" thickBot="1">
      <c r="B417" s="66">
        <f t="shared" si="76"/>
        <v>4</v>
      </c>
      <c r="C417" s="77">
        <f t="shared" ca="1" si="77"/>
        <v>78.023577981449748</v>
      </c>
      <c r="D417" s="77">
        <f t="shared" ca="1" si="78"/>
        <v>18.976541000177484</v>
      </c>
      <c r="E417" s="77">
        <f t="shared" ca="1" si="79"/>
        <v>49.205864151060211</v>
      </c>
      <c r="F417" s="97">
        <f t="shared" ca="1" si="80"/>
        <v>1902.2439252527947</v>
      </c>
      <c r="G417" s="98" t="str">
        <f t="shared" ca="1" si="74"/>
        <v>buy</v>
      </c>
      <c r="H417" s="77">
        <f t="shared" ca="1" si="75"/>
        <v>50.862636104270948</v>
      </c>
      <c r="I417" s="97">
        <f t="shared" ca="1" si="81"/>
        <v>39.321595441885862</v>
      </c>
      <c r="J417" s="77">
        <f t="shared" ref="J417:J433" ca="1" si="83">IF(G417="sell",C417,(I417-$G$407*H417))</f>
        <v>80.011704325302617</v>
      </c>
      <c r="K417" s="77">
        <f t="shared" ref="K417:K433" ca="1" si="84">IF(G417="sell",I417-$G$408*H417,D417)</f>
        <v>18.976541000177484</v>
      </c>
      <c r="L417" s="23">
        <f t="shared" ca="1" si="82"/>
        <v>1999.9999999999998</v>
      </c>
      <c r="O417" s="286"/>
    </row>
    <row r="418" spans="2:15" ht="17" customHeight="1" thickBot="1">
      <c r="B418" s="66">
        <f t="shared" si="76"/>
        <v>5</v>
      </c>
      <c r="C418" s="77">
        <f t="shared" ca="1" si="77"/>
        <v>82.971688783107354</v>
      </c>
      <c r="D418" s="77">
        <f t="shared" ca="1" si="78"/>
        <v>19.277634017361578</v>
      </c>
      <c r="E418" s="77">
        <f t="shared" ca="1" si="79"/>
        <v>53.078378971454804</v>
      </c>
      <c r="F418" s="97">
        <f t="shared" ca="1" si="80"/>
        <v>2150.1512897414773</v>
      </c>
      <c r="G418" s="98" t="str">
        <f t="shared" ca="1" si="74"/>
        <v>sell</v>
      </c>
      <c r="H418" s="77">
        <f t="shared" ca="1" si="75"/>
        <v>65.611582374299445</v>
      </c>
      <c r="I418" s="97">
        <f t="shared" ca="1" si="81"/>
        <v>30.482422883667795</v>
      </c>
      <c r="J418" s="77">
        <f t="shared" ca="1" si="83"/>
        <v>82.971688783107354</v>
      </c>
      <c r="K418" s="77">
        <f t="shared" ca="1" si="84"/>
        <v>4.2377899339480152</v>
      </c>
      <c r="L418" s="23">
        <f t="shared" ca="1" si="82"/>
        <v>2000</v>
      </c>
      <c r="O418" s="286"/>
    </row>
    <row r="419" spans="2:15" ht="17" customHeight="1" thickBot="1">
      <c r="B419" s="66">
        <f t="shared" si="76"/>
        <v>6</v>
      </c>
      <c r="C419" s="77">
        <f t="shared" ca="1" si="77"/>
        <v>86.263631844929265</v>
      </c>
      <c r="D419" s="77">
        <f t="shared" ca="1" si="78"/>
        <v>18.854144179078926</v>
      </c>
      <c r="E419" s="77">
        <f t="shared" ca="1" si="79"/>
        <v>56.174573054875268</v>
      </c>
      <c r="F419" s="97">
        <f t="shared" ca="1" si="80"/>
        <v>2321.3565627338289</v>
      </c>
      <c r="G419" s="98" t="str">
        <f t="shared" ca="1" si="74"/>
        <v>sell</v>
      </c>
      <c r="H419" s="77">
        <f t="shared" ca="1" si="75"/>
        <v>74.084113315848256</v>
      </c>
      <c r="I419" s="97">
        <f t="shared" ca="1" si="81"/>
        <v>26.996341192250654</v>
      </c>
      <c r="J419" s="77">
        <f t="shared" ca="1" si="83"/>
        <v>86.263631844929265</v>
      </c>
      <c r="K419" s="77">
        <f t="shared" ca="1" si="84"/>
        <v>-2.6373041340886516</v>
      </c>
      <c r="L419" s="23">
        <f t="shared" ca="1" si="82"/>
        <v>1999.9999999999995</v>
      </c>
      <c r="O419" s="286"/>
    </row>
    <row r="420" spans="2:15" ht="17" customHeight="1" thickBot="1">
      <c r="B420" s="66">
        <f t="shared" si="76"/>
        <v>7</v>
      </c>
      <c r="C420" s="77">
        <f t="shared" ca="1" si="77"/>
        <v>83.150978644891623</v>
      </c>
      <c r="D420" s="77">
        <f t="shared" ca="1" si="78"/>
        <v>21.345173026634939</v>
      </c>
      <c r="E420" s="77">
        <f t="shared" ca="1" si="79"/>
        <v>51.504838015213899</v>
      </c>
      <c r="F420" s="97">
        <f t="shared" ca="1" si="80"/>
        <v>2160.4790147329149</v>
      </c>
      <c r="G420" s="98" t="str">
        <f t="shared" ca="1" si="74"/>
        <v>sell</v>
      </c>
      <c r="H420" s="77">
        <f t="shared" ca="1" si="75"/>
        <v>66.140266727407976</v>
      </c>
      <c r="I420" s="97">
        <f t="shared" ca="1" si="81"/>
        <v>30.238765262965238</v>
      </c>
      <c r="J420" s="77">
        <f t="shared" ca="1" si="83"/>
        <v>83.150978644891623</v>
      </c>
      <c r="K420" s="77">
        <f t="shared" ca="1" si="84"/>
        <v>3.7826585720020454</v>
      </c>
      <c r="L420" s="23">
        <f t="shared" ca="1" si="82"/>
        <v>1999.9999999999998</v>
      </c>
      <c r="O420" s="286"/>
    </row>
    <row r="421" spans="2:15" ht="17" customHeight="1" thickBot="1">
      <c r="B421" s="66">
        <f t="shared" si="76"/>
        <v>8</v>
      </c>
      <c r="C421" s="77">
        <f t="shared" ca="1" si="77"/>
        <v>79.458247197249221</v>
      </c>
      <c r="D421" s="77">
        <f t="shared" ca="1" si="78"/>
        <v>20.355656183187712</v>
      </c>
      <c r="E421" s="77">
        <f t="shared" ca="1" si="79"/>
        <v>49.252159178384581</v>
      </c>
      <c r="F421" s="97">
        <f t="shared" ca="1" si="80"/>
        <v>1972.870092008003</v>
      </c>
      <c r="G421" s="98" t="str">
        <f t="shared" ca="1" si="74"/>
        <v>buy</v>
      </c>
      <c r="H421" s="77">
        <f t="shared" ca="1" si="75"/>
        <v>49.704788744580334</v>
      </c>
      <c r="I421" s="97">
        <f t="shared" ca="1" si="81"/>
        <v>40.237571681019844</v>
      </c>
      <c r="J421" s="77">
        <f t="shared" ca="1" si="83"/>
        <v>80.001402676684108</v>
      </c>
      <c r="K421" s="77">
        <f t="shared" ca="1" si="84"/>
        <v>20.355656183187712</v>
      </c>
      <c r="L421" s="23">
        <f t="shared" ca="1" si="82"/>
        <v>1999.9999999999995</v>
      </c>
      <c r="O421" s="286"/>
    </row>
    <row r="422" spans="2:15" ht="17" customHeight="1" thickBot="1">
      <c r="B422" s="66">
        <f t="shared" si="76"/>
        <v>9</v>
      </c>
      <c r="C422" s="77">
        <f t="shared" ca="1" si="77"/>
        <v>75.841995116206505</v>
      </c>
      <c r="D422" s="77">
        <f t="shared" ca="1" si="78"/>
        <v>18.592175740871255</v>
      </c>
      <c r="E422" s="77">
        <f t="shared" ca="1" si="79"/>
        <v>47.70818281277937</v>
      </c>
      <c r="F422" s="97">
        <f t="shared" ca="1" si="80"/>
        <v>1797.4272020518385</v>
      </c>
      <c r="G422" s="98" t="str">
        <f t="shared" ca="1" si="74"/>
        <v>buy</v>
      </c>
      <c r="H422" s="77">
        <f t="shared" ca="1" si="75"/>
        <v>51.191680814177047</v>
      </c>
      <c r="I422" s="97">
        <f t="shared" ca="1" si="81"/>
        <v>39.068848066542074</v>
      </c>
      <c r="J422" s="77">
        <f t="shared" ca="1" si="83"/>
        <v>80.022192717883712</v>
      </c>
      <c r="K422" s="77">
        <f t="shared" ca="1" si="84"/>
        <v>18.592175740871255</v>
      </c>
      <c r="L422" s="23">
        <f t="shared" ca="1" si="82"/>
        <v>2000</v>
      </c>
      <c r="O422" s="286"/>
    </row>
    <row r="423" spans="2:15" ht="17" customHeight="1" thickBot="1">
      <c r="B423" s="66">
        <v>10</v>
      </c>
      <c r="C423" s="77">
        <f t="shared" ca="1" si="77"/>
        <v>83.033106038744506</v>
      </c>
      <c r="D423" s="77">
        <f t="shared" ca="1" si="78"/>
        <v>19.684114094970305</v>
      </c>
      <c r="E423" s="77">
        <f t="shared" ca="1" si="79"/>
        <v>52.790826619811824</v>
      </c>
      <c r="F423" s="97">
        <f t="shared" ca="1" si="80"/>
        <v>2153.8892044333852</v>
      </c>
      <c r="G423" s="98" t="str">
        <f t="shared" ca="1" si="74"/>
        <v>sell</v>
      </c>
      <c r="H423" s="77">
        <f t="shared" ca="1" si="75"/>
        <v>65.793992351277495</v>
      </c>
      <c r="I423" s="97">
        <f t="shared" ca="1" si="81"/>
        <v>30.397912157722509</v>
      </c>
      <c r="J423" s="77">
        <f t="shared" ca="1" si="83"/>
        <v>83.033106038744506</v>
      </c>
      <c r="K423" s="77">
        <f t="shared" ca="1" si="84"/>
        <v>4.0803152172115098</v>
      </c>
      <c r="L423" s="23">
        <f t="shared" ca="1" si="82"/>
        <v>2000</v>
      </c>
      <c r="O423" s="286"/>
    </row>
    <row r="424" spans="2:15" ht="17" customHeight="1" thickBot="1">
      <c r="B424" s="66">
        <v>11</v>
      </c>
      <c r="C424" s="77">
        <f t="shared" ca="1" si="77"/>
        <v>83.783157055483642</v>
      </c>
      <c r="D424" s="77">
        <f t="shared" ca="1" si="78"/>
        <v>21.377670545824579</v>
      </c>
      <c r="E424" s="77">
        <f t="shared" ca="1" si="79"/>
        <v>52.004572091382542</v>
      </c>
      <c r="F424" s="97">
        <f t="shared" ca="1" si="80"/>
        <v>2193.5268164092818</v>
      </c>
      <c r="G424" s="98" t="str">
        <f t="shared" ca="1" si="74"/>
        <v>sell</v>
      </c>
      <c r="H424" s="77">
        <f t="shared" ca="1" si="75"/>
        <v>67.922045248231512</v>
      </c>
      <c r="I424" s="97">
        <f t="shared" ca="1" si="81"/>
        <v>29.445520856898426</v>
      </c>
      <c r="J424" s="77">
        <f t="shared" ca="1" si="83"/>
        <v>83.783157055483642</v>
      </c>
      <c r="K424" s="77">
        <f t="shared" ca="1" si="84"/>
        <v>2.2767027576058183</v>
      </c>
      <c r="L424" s="23">
        <f t="shared" ca="1" si="82"/>
        <v>1999.9999999999995</v>
      </c>
      <c r="O424" s="286"/>
    </row>
    <row r="425" spans="2:15" ht="17" customHeight="1" thickBot="1">
      <c r="B425" s="66">
        <v>12</v>
      </c>
      <c r="C425" s="77">
        <f t="shared" ca="1" si="77"/>
        <v>74.93563730199898</v>
      </c>
      <c r="D425" s="77">
        <f t="shared" ca="1" si="78"/>
        <v>18.744170469770506</v>
      </c>
      <c r="E425" s="77">
        <f t="shared" ca="1" si="79"/>
        <v>46.826222360190386</v>
      </c>
      <c r="F425" s="97">
        <f t="shared" ca="1" si="80"/>
        <v>1754.7967345851862</v>
      </c>
      <c r="G425" s="98" t="str">
        <f t="shared" ca="1" si="74"/>
        <v>buy</v>
      </c>
      <c r="H425" s="77">
        <f t="shared" ca="1" si="75"/>
        <v>51.061228604515541</v>
      </c>
      <c r="I425" s="97">
        <f t="shared" ca="1" si="81"/>
        <v>39.16866191157672</v>
      </c>
      <c r="J425" s="77">
        <f t="shared" ca="1" si="83"/>
        <v>80.017644795189156</v>
      </c>
      <c r="K425" s="77">
        <f t="shared" ca="1" si="84"/>
        <v>18.744170469770506</v>
      </c>
      <c r="L425" s="23">
        <f t="shared" ca="1" si="82"/>
        <v>1999.9999999999995</v>
      </c>
      <c r="O425" s="286"/>
    </row>
    <row r="426" spans="2:15" ht="17" customHeight="1" thickBot="1">
      <c r="B426" s="66">
        <v>13</v>
      </c>
      <c r="C426" s="77">
        <f t="shared" ca="1" si="77"/>
        <v>73.90524771826982</v>
      </c>
      <c r="D426" s="77">
        <f t="shared" ca="1" si="78"/>
        <v>19.518419712830863</v>
      </c>
      <c r="E426" s="77">
        <f t="shared" ca="1" si="79"/>
        <v>45.322356671199124</v>
      </c>
      <c r="F426" s="97">
        <f t="shared" ca="1" si="80"/>
        <v>1706.2671855756398</v>
      </c>
      <c r="G426" s="98" t="str">
        <f t="shared" ca="1" si="74"/>
        <v>buy</v>
      </c>
      <c r="H426" s="77">
        <f t="shared" ca="1" si="75"/>
        <v>50.403470039112868</v>
      </c>
      <c r="I426" s="97">
        <f t="shared" ca="1" si="81"/>
        <v>39.679807728476007</v>
      </c>
      <c r="J426" s="77">
        <f t="shared" ca="1" si="83"/>
        <v>80.00258375976631</v>
      </c>
      <c r="K426" s="77">
        <f t="shared" ca="1" si="84"/>
        <v>19.518419712830863</v>
      </c>
      <c r="L426" s="23">
        <f t="shared" ca="1" si="82"/>
        <v>1999.9999999999995</v>
      </c>
      <c r="O426" s="286"/>
    </row>
    <row r="427" spans="2:15" ht="17" customHeight="1" thickBot="1">
      <c r="B427" s="66">
        <v>14</v>
      </c>
      <c r="C427" s="77">
        <f t="shared" ca="1" si="77"/>
        <v>72.18923950518662</v>
      </c>
      <c r="D427" s="77">
        <f t="shared" ca="1" si="78"/>
        <v>19.07556600860655</v>
      </c>
      <c r="E427" s="77">
        <f t="shared" ca="1" si="79"/>
        <v>44.261394580483383</v>
      </c>
      <c r="F427" s="97">
        <f t="shared" ca="1" si="80"/>
        <v>1627.9395740366888</v>
      </c>
      <c r="G427" s="98" t="str">
        <f t="shared" ca="1" si="74"/>
        <v>buy</v>
      </c>
      <c r="H427" s="77">
        <f t="shared" ca="1" si="75"/>
        <v>50.778314844484363</v>
      </c>
      <c r="I427" s="97">
        <f t="shared" ca="1" si="81"/>
        <v>39.386891946400297</v>
      </c>
      <c r="J427" s="77">
        <f t="shared" ca="1" si="83"/>
        <v>80.009543821987791</v>
      </c>
      <c r="K427" s="77">
        <f t="shared" ca="1" si="84"/>
        <v>19.07556600860655</v>
      </c>
      <c r="L427" s="23">
        <f t="shared" ca="1" si="82"/>
        <v>1999.9999999999998</v>
      </c>
      <c r="O427" s="286"/>
    </row>
    <row r="428" spans="2:15" ht="17" customHeight="1" thickBot="1">
      <c r="B428" s="66">
        <v>15</v>
      </c>
      <c r="C428" s="77">
        <f t="shared" ca="1" si="77"/>
        <v>87.545686262518032</v>
      </c>
      <c r="D428" s="77">
        <f t="shared" ca="1" si="78"/>
        <v>19.826124544137834</v>
      </c>
      <c r="E428" s="77">
        <f t="shared" ca="1" si="79"/>
        <v>56.43296809865015</v>
      </c>
      <c r="F428" s="97">
        <f t="shared" ca="1" si="80"/>
        <v>2392.7190092885021</v>
      </c>
      <c r="G428" s="98" t="str">
        <f t="shared" ca="1" si="74"/>
        <v>sell</v>
      </c>
      <c r="H428" s="77">
        <f t="shared" ca="1" si="75"/>
        <v>76.938712529276117</v>
      </c>
      <c r="I428" s="97">
        <f t="shared" ca="1" si="81"/>
        <v>25.994716239097137</v>
      </c>
      <c r="J428" s="77">
        <f t="shared" ca="1" si="83"/>
        <v>87.545686262518032</v>
      </c>
      <c r="K428" s="77">
        <f t="shared" ca="1" si="84"/>
        <v>-4.7807687726133103</v>
      </c>
      <c r="L428" s="23">
        <f t="shared" ca="1" si="82"/>
        <v>2000.0000000000002</v>
      </c>
      <c r="O428" s="286"/>
    </row>
    <row r="429" spans="2:15" ht="17" customHeight="1" thickBot="1">
      <c r="B429" s="66">
        <v>16</v>
      </c>
      <c r="C429" s="77">
        <f t="shared" ca="1" si="77"/>
        <v>81.527934488992955</v>
      </c>
      <c r="D429" s="77">
        <f t="shared" ca="1" si="78"/>
        <v>20.545032919526449</v>
      </c>
      <c r="E429" s="77">
        <f t="shared" ca="1" si="79"/>
        <v>50.819084641222084</v>
      </c>
      <c r="F429" s="97">
        <f t="shared" ca="1" si="80"/>
        <v>2077.1115124027865</v>
      </c>
      <c r="G429" s="98" t="str">
        <f t="shared" ca="1" si="74"/>
        <v>sell</v>
      </c>
      <c r="H429" s="77">
        <f t="shared" ca="1" si="75"/>
        <v>60.773709096230213</v>
      </c>
      <c r="I429" s="97">
        <f t="shared" ca="1" si="81"/>
        <v>32.908967212008783</v>
      </c>
      <c r="J429" s="77">
        <f t="shared" ca="1" si="83"/>
        <v>81.527934488992955</v>
      </c>
      <c r="K429" s="77">
        <f t="shared" ca="1" si="84"/>
        <v>8.5994835735166966</v>
      </c>
      <c r="L429" s="23">
        <f t="shared" ca="1" si="82"/>
        <v>2000</v>
      </c>
      <c r="O429" s="286"/>
    </row>
    <row r="430" spans="2:15" ht="17" customHeight="1" thickBot="1">
      <c r="B430" s="66">
        <v>17</v>
      </c>
      <c r="C430" s="77">
        <f t="shared" ca="1" si="77"/>
        <v>81.778913827758572</v>
      </c>
      <c r="D430" s="77">
        <f t="shared" ca="1" si="78"/>
        <v>18.761036695397255</v>
      </c>
      <c r="E430" s="77">
        <f t="shared" ca="1" si="79"/>
        <v>52.514897610301091</v>
      </c>
      <c r="F430" s="97">
        <f t="shared" ca="1" si="80"/>
        <v>2088.3597095300515</v>
      </c>
      <c r="G430" s="98" t="str">
        <f t="shared" ca="1" si="74"/>
        <v>sell</v>
      </c>
      <c r="H430" s="77">
        <f t="shared" ca="1" si="75"/>
        <v>61.714568922405242</v>
      </c>
      <c r="I430" s="97">
        <f t="shared" ca="1" si="81"/>
        <v>32.407258689834379</v>
      </c>
      <c r="J430" s="77">
        <f t="shared" ca="1" si="83"/>
        <v>81.778913827758572</v>
      </c>
      <c r="K430" s="77">
        <f t="shared" ca="1" si="84"/>
        <v>7.7214311208722819</v>
      </c>
      <c r="L430" s="23">
        <f t="shared" ca="1" si="82"/>
        <v>2000</v>
      </c>
      <c r="O430" s="286"/>
    </row>
    <row r="431" spans="2:15" ht="17" customHeight="1" thickBot="1">
      <c r="B431" s="66">
        <v>18</v>
      </c>
      <c r="C431" s="77">
        <f t="shared" ca="1" si="77"/>
        <v>85.9956294084391</v>
      </c>
      <c r="D431" s="77">
        <f t="shared" ca="1" si="78"/>
        <v>21.225622726028238</v>
      </c>
      <c r="E431" s="77">
        <f t="shared" ca="1" si="79"/>
        <v>53.975005568675712</v>
      </c>
      <c r="F431" s="97">
        <f t="shared" ca="1" si="80"/>
        <v>2310.9735952914139</v>
      </c>
      <c r="G431" s="98" t="str">
        <f t="shared" ca="1" si="74"/>
        <v>sell</v>
      </c>
      <c r="H431" s="77">
        <f t="shared" ca="1" si="75"/>
        <v>73.46449075923158</v>
      </c>
      <c r="I431" s="97">
        <f t="shared" ca="1" si="81"/>
        <v>27.224036801053835</v>
      </c>
      <c r="J431" s="77">
        <f t="shared" ca="1" si="83"/>
        <v>85.9956294084391</v>
      </c>
      <c r="K431" s="77">
        <f t="shared" ca="1" si="84"/>
        <v>-2.1617595026387981</v>
      </c>
      <c r="L431" s="23">
        <f t="shared" ca="1" si="82"/>
        <v>2000</v>
      </c>
      <c r="O431" s="286"/>
    </row>
    <row r="432" spans="2:15" ht="17" customHeight="1" thickBot="1">
      <c r="B432" s="66">
        <v>19</v>
      </c>
      <c r="C432" s="77">
        <f t="shared" ca="1" si="77"/>
        <v>72.208863637186283</v>
      </c>
      <c r="D432" s="77">
        <f t="shared" ca="1" si="78"/>
        <v>20.657349320710502</v>
      </c>
      <c r="E432" s="77">
        <f t="shared" ca="1" si="79"/>
        <v>42.95959526372981</v>
      </c>
      <c r="F432" s="97">
        <f t="shared" ca="1" si="80"/>
        <v>1625.642096128598</v>
      </c>
      <c r="G432" s="98" t="str">
        <f t="shared" ca="1" si="74"/>
        <v>buy</v>
      </c>
      <c r="H432" s="77">
        <f t="shared" ca="1" si="75"/>
        <v>49.45619523679953</v>
      </c>
      <c r="I432" s="97">
        <f t="shared" ca="1" si="81"/>
        <v>40.439827415430315</v>
      </c>
      <c r="J432" s="77">
        <f t="shared" ca="1" si="83"/>
        <v>80.004783604869942</v>
      </c>
      <c r="K432" s="77">
        <f t="shared" ca="1" si="84"/>
        <v>20.657349320710502</v>
      </c>
      <c r="L432" s="23">
        <f t="shared" ca="1" si="82"/>
        <v>1999.9999999999998</v>
      </c>
      <c r="O432" s="286"/>
    </row>
    <row r="433" spans="2:15" ht="17" customHeight="1" thickBot="1">
      <c r="B433" s="66">
        <v>20</v>
      </c>
      <c r="C433" s="77">
        <f t="shared" ca="1" si="77"/>
        <v>87.98898445112637</v>
      </c>
      <c r="D433" s="77">
        <f t="shared" ca="1" si="78"/>
        <v>18.494012208361561</v>
      </c>
      <c r="E433" s="77">
        <f t="shared" ca="1" si="79"/>
        <v>57.912476868970671</v>
      </c>
      <c r="F433" s="97">
        <f t="shared" ca="1" si="80"/>
        <v>2412.5760450708253</v>
      </c>
      <c r="G433" s="98" t="str">
        <f t="shared" ca="1" si="74"/>
        <v>sell</v>
      </c>
      <c r="H433" s="77">
        <f t="shared" ca="1" si="75"/>
        <v>77.889462772640798</v>
      </c>
      <c r="I433" s="97">
        <f t="shared" ca="1" si="81"/>
        <v>25.677414233013728</v>
      </c>
      <c r="J433" s="77">
        <f t="shared" ca="1" si="83"/>
        <v>87.98898445112637</v>
      </c>
      <c r="K433" s="77">
        <f t="shared" ca="1" si="84"/>
        <v>-5.4783708760425931</v>
      </c>
      <c r="L433" s="23">
        <f t="shared" ca="1" si="82"/>
        <v>1999.9999999999998</v>
      </c>
      <c r="O433" s="286"/>
    </row>
    <row r="434" spans="2:15" ht="17" customHeight="1" thickBot="1">
      <c r="B434" s="127" t="s">
        <v>251</v>
      </c>
      <c r="C434" s="77">
        <f ca="1">AVERAGE(C414:C433)</f>
        <v>80.984501512819079</v>
      </c>
      <c r="D434" s="77">
        <f ca="1">AVERAGE(D414:D433)</f>
        <v>19.635494937933316</v>
      </c>
      <c r="E434" s="77">
        <f ca="1">AVERAGE(E414:E433)</f>
        <v>51.124172145738129</v>
      </c>
      <c r="F434" s="97">
        <f ca="1">AVERAGE(F414:F433)</f>
        <v>2056.1104432723996</v>
      </c>
      <c r="G434" s="98"/>
      <c r="H434" s="77">
        <f ca="1">AVERAGE(H414:H433)</f>
        <v>62.091026075672424</v>
      </c>
      <c r="I434" s="97">
        <f ca="1">AVERAGE(I414:I433)</f>
        <v>33.149063944651935</v>
      </c>
      <c r="J434" s="77">
        <f ca="1">AVERAGE(J414:J433)</f>
        <v>82.821884805189896</v>
      </c>
      <c r="K434" s="77">
        <f ca="1">AVERAGE(K414:K433)</f>
        <v>8.3126535143829674</v>
      </c>
      <c r="L434" s="132">
        <f ca="1">AVERAGE(L414:L433)</f>
        <v>2000</v>
      </c>
      <c r="O434" s="286"/>
    </row>
    <row r="435" spans="2:15" ht="17" customHeight="1" thickBot="1">
      <c r="B435" s="127" t="s">
        <v>394</v>
      </c>
      <c r="C435" s="77">
        <f ca="1">STDEV(C414:C433)</f>
        <v>5.2235958074264941</v>
      </c>
      <c r="D435" s="77">
        <f ca="1">STDEV(D414:D433)</f>
        <v>0.96716614366599674</v>
      </c>
      <c r="E435" s="77">
        <f ca="1">STDEV(E414:E433)</f>
        <v>4.3774507912645388</v>
      </c>
      <c r="F435" s="77">
        <f ca="1">STDEV(F414:F433)</f>
        <v>260.63024151614775</v>
      </c>
      <c r="G435" s="98"/>
      <c r="H435" s="77">
        <f ca="1">STDEV(H414:H433)</f>
        <v>10.723651693267822</v>
      </c>
      <c r="I435" s="77">
        <f ca="1">STDEV(I414:I433)</f>
        <v>5.7492518425431367</v>
      </c>
      <c r="J435" s="77">
        <f ca="1">STDEV(J414:J433)</f>
        <v>2.9207369123006868</v>
      </c>
      <c r="K435" s="77">
        <f ca="1">STDEV(K414:K433)</f>
        <v>10.025662660120364</v>
      </c>
      <c r="L435" s="77">
        <f ca="1">STDEV(L414:L433)</f>
        <v>2.7602117309783532E-13</v>
      </c>
    </row>
    <row r="436" spans="2:15" ht="17" customHeight="1" thickBot="1">
      <c r="B436" s="127" t="s">
        <v>395</v>
      </c>
      <c r="C436" s="285">
        <f ca="1">C435/C434</f>
        <v>6.4501178742202278E-2</v>
      </c>
      <c r="D436" s="285">
        <f ca="1">D435/D434</f>
        <v>4.925601044043728E-2</v>
      </c>
      <c r="E436" s="285">
        <f ca="1">E435/E434</f>
        <v>8.5623895850789958E-2</v>
      </c>
      <c r="F436" s="285">
        <f ca="1">F435/F434</f>
        <v>0.12675887249584805</v>
      </c>
      <c r="G436" s="285"/>
      <c r="H436" s="285">
        <f ca="1">H435/H434</f>
        <v>0.17270855985208791</v>
      </c>
      <c r="I436" s="285">
        <f ca="1">I435/I434</f>
        <v>0.17343632544624796</v>
      </c>
      <c r="J436" s="285">
        <f ca="1">J435/J434</f>
        <v>3.5265279450844657E-2</v>
      </c>
      <c r="K436" s="285">
        <f ca="1">K435/K434</f>
        <v>1.206072482483898</v>
      </c>
      <c r="L436" s="285">
        <f ca="1">L435/L434</f>
        <v>1.3801058654891766E-16</v>
      </c>
    </row>
    <row r="437" spans="2:15" s="261" customFormat="1" ht="17" customHeight="1">
      <c r="B437" s="65"/>
      <c r="C437" s="262"/>
      <c r="D437" s="125" t="s">
        <v>214</v>
      </c>
      <c r="E437" s="125"/>
      <c r="F437" s="125"/>
      <c r="G437" s="173" t="s">
        <v>79</v>
      </c>
      <c r="H437" s="125"/>
      <c r="I437" s="125"/>
      <c r="J437" s="125"/>
      <c r="K437" s="4" t="s">
        <v>215</v>
      </c>
    </row>
    <row r="438" spans="2:15" ht="17" customHeight="1">
      <c r="B438" s="65"/>
      <c r="C438" s="190"/>
      <c r="D438" s="191"/>
      <c r="E438" s="191"/>
      <c r="F438" s="191"/>
      <c r="G438" s="191"/>
      <c r="H438" s="191"/>
      <c r="I438" s="191"/>
      <c r="J438" s="191"/>
      <c r="K438" s="191"/>
    </row>
    <row r="439" spans="2:15" ht="17" customHeight="1">
      <c r="B439" s="65"/>
      <c r="C439" s="190"/>
      <c r="D439" s="191"/>
      <c r="E439" s="191"/>
      <c r="F439" s="191"/>
      <c r="G439" s="191"/>
      <c r="H439" s="191"/>
      <c r="I439" s="191"/>
      <c r="J439" s="191"/>
      <c r="K439" s="191"/>
    </row>
    <row r="440" spans="2:15" ht="17" customHeight="1">
      <c r="B440" s="65"/>
      <c r="C440" s="190"/>
      <c r="D440" s="191"/>
      <c r="E440" s="191"/>
      <c r="F440" s="191"/>
      <c r="G440" s="191"/>
      <c r="H440" s="191"/>
      <c r="I440" s="191"/>
      <c r="J440" s="191"/>
      <c r="K440" s="191"/>
    </row>
    <row r="441" spans="2:15" ht="17" customHeight="1">
      <c r="B441" s="65"/>
      <c r="C441" s="190"/>
      <c r="D441" s="191"/>
      <c r="E441" s="191"/>
      <c r="F441" s="191"/>
      <c r="G441" s="191"/>
      <c r="H441" s="191"/>
      <c r="I441" s="191"/>
      <c r="J441" s="191"/>
      <c r="K441" s="191"/>
    </row>
    <row r="442" spans="2:15" ht="17" customHeight="1">
      <c r="B442" s="65"/>
      <c r="C442" s="190"/>
      <c r="D442" s="191"/>
      <c r="E442" s="191"/>
      <c r="F442" s="191"/>
      <c r="G442" s="191"/>
      <c r="H442" s="191"/>
      <c r="I442" s="191"/>
      <c r="J442" s="191"/>
      <c r="K442" s="191"/>
    </row>
    <row r="443" spans="2:15" ht="17" customHeight="1">
      <c r="B443" s="65"/>
      <c r="C443" s="190"/>
      <c r="D443" s="191"/>
      <c r="E443" s="191"/>
      <c r="F443" s="191"/>
      <c r="G443" s="191"/>
      <c r="H443" s="191"/>
      <c r="I443" s="191"/>
      <c r="J443" s="191"/>
      <c r="K443" s="191"/>
    </row>
    <row r="444" spans="2:15" ht="17" customHeight="1">
      <c r="B444" s="65"/>
      <c r="C444" s="190"/>
      <c r="D444" s="191"/>
      <c r="E444" s="191"/>
      <c r="F444" s="191"/>
      <c r="G444" s="191"/>
      <c r="H444" s="191"/>
      <c r="I444" s="191"/>
      <c r="J444" s="191"/>
      <c r="K444" s="191"/>
    </row>
    <row r="445" spans="2:15" ht="17" customHeight="1">
      <c r="B445" s="65"/>
      <c r="C445" s="190"/>
      <c r="D445" s="191"/>
      <c r="E445" s="191"/>
      <c r="F445" s="191"/>
      <c r="G445" s="191"/>
      <c r="H445" s="191"/>
      <c r="I445" s="191"/>
      <c r="J445" s="191"/>
      <c r="K445" s="191"/>
    </row>
    <row r="446" spans="2:15" ht="17" customHeight="1">
      <c r="B446" s="65"/>
      <c r="C446" s="190"/>
      <c r="D446" s="191"/>
      <c r="E446" s="191"/>
      <c r="F446" s="191"/>
      <c r="G446" s="191"/>
      <c r="H446" s="191"/>
      <c r="I446" s="191"/>
      <c r="J446" s="191"/>
      <c r="K446" s="191"/>
    </row>
    <row r="447" spans="2:15" ht="17" customHeight="1">
      <c r="B447" s="65"/>
      <c r="C447" s="190"/>
      <c r="D447" s="191"/>
      <c r="E447" s="191"/>
      <c r="F447" s="191"/>
      <c r="G447" s="191"/>
      <c r="H447" s="191"/>
      <c r="I447" s="191"/>
      <c r="J447" s="191"/>
      <c r="K447" s="191"/>
    </row>
    <row r="448" spans="2:15" ht="17" customHeight="1">
      <c r="B448" s="65"/>
      <c r="C448" s="190"/>
      <c r="D448" s="191"/>
      <c r="E448" s="191"/>
      <c r="F448" s="191"/>
      <c r="G448" s="191"/>
      <c r="H448" s="191"/>
      <c r="I448" s="191"/>
      <c r="J448" s="191"/>
      <c r="K448" s="191"/>
    </row>
    <row r="449" spans="2:11" s="261" customFormat="1" ht="17" customHeight="1">
      <c r="B449" s="65"/>
      <c r="C449" s="262"/>
      <c r="D449" s="125" t="s">
        <v>216</v>
      </c>
      <c r="E449" s="125"/>
      <c r="F449" s="125"/>
      <c r="G449" s="173" t="s">
        <v>114</v>
      </c>
      <c r="H449" s="125"/>
      <c r="I449" s="125"/>
      <c r="J449" s="125"/>
      <c r="K449" s="4" t="s">
        <v>217</v>
      </c>
    </row>
    <row r="450" spans="2:11" ht="17" customHeight="1">
      <c r="B450" s="65"/>
      <c r="C450" s="190"/>
      <c r="D450" s="191"/>
      <c r="E450" s="191"/>
      <c r="F450" s="191"/>
      <c r="G450" s="191"/>
      <c r="H450" s="191"/>
      <c r="I450" s="191"/>
      <c r="J450" s="191"/>
      <c r="K450" s="191"/>
    </row>
    <row r="451" spans="2:11" ht="17" customHeight="1">
      <c r="B451" s="65"/>
      <c r="C451" s="190"/>
      <c r="D451" s="191"/>
      <c r="E451" s="191"/>
      <c r="F451" s="191"/>
      <c r="G451" s="191"/>
      <c r="H451" s="191"/>
      <c r="I451" s="191"/>
      <c r="J451" s="191"/>
      <c r="K451" s="191"/>
    </row>
    <row r="452" spans="2:11" ht="17" customHeight="1">
      <c r="B452" s="65"/>
      <c r="C452" s="190"/>
      <c r="D452" s="191"/>
      <c r="E452" s="191"/>
      <c r="F452" s="191"/>
      <c r="G452" s="191"/>
      <c r="H452" s="191"/>
      <c r="I452" s="191"/>
      <c r="J452" s="191"/>
      <c r="K452" s="191"/>
    </row>
    <row r="453" spans="2:11" ht="17" customHeight="1">
      <c r="B453" s="65"/>
      <c r="C453" s="190"/>
      <c r="D453" s="191"/>
      <c r="E453" s="191"/>
      <c r="F453" s="191"/>
      <c r="G453" s="191"/>
      <c r="H453" s="191"/>
      <c r="I453" s="191"/>
      <c r="J453" s="191"/>
      <c r="K453" s="191"/>
    </row>
    <row r="454" spans="2:11" ht="17" customHeight="1">
      <c r="B454" s="65"/>
      <c r="C454" s="190"/>
      <c r="D454" s="191"/>
      <c r="E454" s="191"/>
      <c r="F454" s="191"/>
      <c r="G454" s="191"/>
      <c r="H454" s="191"/>
      <c r="I454" s="191"/>
      <c r="J454" s="191"/>
      <c r="K454" s="191"/>
    </row>
    <row r="455" spans="2:11" ht="17" customHeight="1">
      <c r="B455" s="65"/>
      <c r="C455" s="190"/>
      <c r="D455" s="191"/>
      <c r="E455" s="191"/>
      <c r="F455" s="191"/>
      <c r="G455" s="191"/>
      <c r="H455" s="191"/>
      <c r="I455" s="191"/>
      <c r="J455" s="191"/>
      <c r="K455" s="191"/>
    </row>
    <row r="456" spans="2:11" ht="17" customHeight="1">
      <c r="B456" s="65"/>
      <c r="C456" s="190"/>
      <c r="D456" s="191"/>
      <c r="E456" s="191"/>
      <c r="F456" s="191"/>
      <c r="G456" s="191"/>
      <c r="H456" s="191"/>
      <c r="I456" s="191"/>
      <c r="J456" s="191"/>
      <c r="K456" s="191"/>
    </row>
    <row r="457" spans="2:11" ht="17" customHeight="1">
      <c r="B457" s="65"/>
      <c r="C457" s="190"/>
      <c r="D457" s="191"/>
      <c r="E457" s="191"/>
      <c r="F457" s="191"/>
      <c r="G457" s="191"/>
      <c r="H457" s="191"/>
      <c r="I457" s="191"/>
      <c r="J457" s="191"/>
      <c r="K457" s="191"/>
    </row>
    <row r="458" spans="2:11" ht="17" customHeight="1">
      <c r="B458" s="65"/>
      <c r="C458" s="13"/>
      <c r="D458" s="1"/>
      <c r="E458" s="10"/>
      <c r="F458" s="1"/>
    </row>
    <row r="459" spans="2:11" ht="17" customHeight="1">
      <c r="B459" s="65"/>
      <c r="C459" s="13"/>
      <c r="D459" s="1"/>
      <c r="E459" s="10"/>
      <c r="F459" s="1"/>
    </row>
    <row r="460" spans="2:11" ht="17" customHeight="1">
      <c r="B460" s="65"/>
      <c r="C460" s="13"/>
      <c r="D460" s="1"/>
      <c r="E460" s="10"/>
      <c r="F460" s="1"/>
    </row>
    <row r="461" spans="2:11" ht="17" customHeight="1">
      <c r="B461" s="65"/>
      <c r="C461" s="13"/>
      <c r="D461" s="1"/>
      <c r="E461" s="10"/>
      <c r="F461" s="1"/>
    </row>
    <row r="462" spans="2:11" ht="17" customHeight="1">
      <c r="B462" s="13" t="s">
        <v>2</v>
      </c>
      <c r="C462" s="13"/>
      <c r="D462" s="1"/>
      <c r="E462" s="10"/>
      <c r="F462" s="1"/>
    </row>
    <row r="463" spans="2:11" ht="17" customHeight="1">
      <c r="B463" s="13" t="s">
        <v>131</v>
      </c>
      <c r="C463" s="13"/>
      <c r="D463" s="1"/>
      <c r="E463" s="10"/>
      <c r="F463" s="1"/>
    </row>
    <row r="464" spans="2:11" ht="17" customHeight="1" thickBot="1">
      <c r="B464" s="65"/>
      <c r="C464" s="13"/>
      <c r="D464" s="1"/>
      <c r="E464" s="10"/>
      <c r="F464" s="1"/>
      <c r="G464" s="2" t="s">
        <v>368</v>
      </c>
    </row>
    <row r="465" spans="2:14" ht="17" customHeight="1">
      <c r="B465" s="65"/>
      <c r="C465" s="291"/>
      <c r="D465" s="93"/>
      <c r="E465" s="92"/>
      <c r="F465" s="377"/>
      <c r="G465" s="94" t="s">
        <v>416</v>
      </c>
      <c r="H465" s="94"/>
      <c r="I465" s="93"/>
      <c r="J465" s="93"/>
      <c r="K465" s="93"/>
      <c r="L465" s="141"/>
    </row>
    <row r="466" spans="2:14" ht="17" customHeight="1" thickBot="1">
      <c r="B466" s="65"/>
      <c r="C466" s="311"/>
      <c r="D466" s="312"/>
      <c r="E466" s="378"/>
      <c r="F466" s="312"/>
      <c r="G466" s="314" t="s">
        <v>374</v>
      </c>
      <c r="H466" s="314"/>
      <c r="I466" s="312"/>
      <c r="J466" s="312"/>
      <c r="K466" s="312"/>
      <c r="L466" s="337"/>
    </row>
    <row r="467" spans="2:14" ht="17" customHeight="1" thickBot="1">
      <c r="B467" s="65"/>
      <c r="C467" s="316">
        <f ca="1">$K$408</f>
        <v>77.889462772640798</v>
      </c>
      <c r="D467" s="315"/>
      <c r="E467" s="315"/>
      <c r="F467" s="340" t="str">
        <f>$D$124</f>
        <v xml:space="preserve"> = initial buffer quantity and credit:</v>
      </c>
      <c r="G467" s="320">
        <f ca="1">C467*$L$410</f>
        <v>2574.9182160030887</v>
      </c>
      <c r="H467" s="158" t="s">
        <v>278</v>
      </c>
      <c r="I467" s="158" t="s">
        <v>279</v>
      </c>
      <c r="J467" s="158" t="s">
        <v>285</v>
      </c>
      <c r="K467" s="158" t="s">
        <v>281</v>
      </c>
      <c r="L467" s="158" t="s">
        <v>281</v>
      </c>
    </row>
    <row r="468" spans="2:14">
      <c r="B468" s="65"/>
      <c r="C468" s="326" t="s">
        <v>152</v>
      </c>
      <c r="D468" s="326" t="s">
        <v>152</v>
      </c>
      <c r="E468" s="158" t="s">
        <v>142</v>
      </c>
      <c r="F468" s="158" t="s">
        <v>142</v>
      </c>
      <c r="G468" s="158" t="s">
        <v>323</v>
      </c>
      <c r="H468" s="157" t="s">
        <v>280</v>
      </c>
      <c r="I468" s="157" t="s">
        <v>280</v>
      </c>
      <c r="J468" s="157" t="s">
        <v>282</v>
      </c>
      <c r="K468" s="157" t="s">
        <v>283</v>
      </c>
      <c r="L468" s="158" t="s">
        <v>282</v>
      </c>
      <c r="M468" s="17"/>
      <c r="N468" s="17"/>
    </row>
    <row r="469" spans="2:14" ht="17" thickBot="1">
      <c r="B469" s="65"/>
      <c r="C469" s="327" t="s">
        <v>147</v>
      </c>
      <c r="D469" s="327" t="s">
        <v>252</v>
      </c>
      <c r="E469" s="183" t="s">
        <v>144</v>
      </c>
      <c r="F469" s="183" t="s">
        <v>141</v>
      </c>
      <c r="G469" s="183" t="s">
        <v>252</v>
      </c>
      <c r="H469" s="183" t="s">
        <v>405</v>
      </c>
      <c r="I469" s="183" t="s">
        <v>405</v>
      </c>
      <c r="J469" s="183" t="s">
        <v>405</v>
      </c>
      <c r="K469" s="183" t="s">
        <v>264</v>
      </c>
      <c r="L469" s="183" t="s">
        <v>405</v>
      </c>
    </row>
    <row r="470" spans="2:14" ht="17" thickBot="1">
      <c r="B470" s="66">
        <v>1</v>
      </c>
      <c r="C470" s="254">
        <f>IF(G414="sell",E414-H414,IF(G414="buy",H414-E414,H414))</f>
        <v>-18.747752276397826</v>
      </c>
      <c r="D470" s="254">
        <f ca="1">C467+C470</f>
        <v>59.141710496242972</v>
      </c>
      <c r="E470" s="329">
        <f>I414</f>
        <v>26.344879749155822</v>
      </c>
      <c r="F470" s="159">
        <f t="shared" ref="F470:F489" si="85">-C470*E470</f>
        <v>493.90727928866306</v>
      </c>
      <c r="G470" s="160">
        <f ca="1">G467+F470</f>
        <v>3068.8254952917518</v>
      </c>
      <c r="H470" s="160">
        <f>(C414-D414)*E414*0.5</f>
        <v>1960.9306204024333</v>
      </c>
      <c r="I470" s="160">
        <f>(J414-K414)*H414*0.5</f>
        <v>3457.9507262865927</v>
      </c>
      <c r="J470" s="160">
        <f>I470-H470</f>
        <v>1497.0201058841594</v>
      </c>
      <c r="K470" s="160">
        <f>F470</f>
        <v>493.90727928866306</v>
      </c>
      <c r="L470" s="160">
        <f>J470+K470</f>
        <v>1990.9273851728226</v>
      </c>
    </row>
    <row r="471" spans="2:14" ht="17" thickBot="1">
      <c r="B471" s="66">
        <f>B470+1</f>
        <v>2</v>
      </c>
      <c r="C471" s="254">
        <f t="shared" ref="C471:C489" si="86">IF(G415="sell",E415-H415,IF(G415="buy",H415-E415,H415))</f>
        <v>2.7005155027331327</v>
      </c>
      <c r="D471" s="254">
        <f ca="1">D470+C471</f>
        <v>61.842225998976105</v>
      </c>
      <c r="E471" s="329">
        <f t="shared" ref="E471:E489" si="87">I415</f>
        <v>39.659644873906572</v>
      </c>
      <c r="F471" s="159">
        <f t="shared" si="85"/>
        <v>-107.10148581487532</v>
      </c>
      <c r="G471" s="160">
        <f ca="1">G470+F471</f>
        <v>2961.7240094768767</v>
      </c>
      <c r="H471" s="160">
        <f t="shared" ref="H471:H489" si="88">(C415-D415)*E415*0.5</f>
        <v>1366.8103819222515</v>
      </c>
      <c r="I471" s="160">
        <f t="shared" ref="I471:I489" si="89">(J415-K415)*H415*0.5</f>
        <v>1525.8561750182021</v>
      </c>
      <c r="J471" s="160">
        <f t="shared" ref="J471:J489" si="90">I471-H471</f>
        <v>159.04579309595056</v>
      </c>
      <c r="K471" s="160">
        <f t="shared" ref="K471:K489" si="91">F471</f>
        <v>-107.10148581487532</v>
      </c>
      <c r="L471" s="160">
        <f t="shared" ref="L471:L489" si="92">J471+K471</f>
        <v>51.94430728107524</v>
      </c>
    </row>
    <row r="472" spans="2:14" ht="17" thickBot="1">
      <c r="B472" s="66">
        <f t="shared" ref="B472:B478" si="93">B471+1</f>
        <v>3</v>
      </c>
      <c r="C472" s="254">
        <f t="shared" ca="1" si="86"/>
        <v>-16.840948893150866</v>
      </c>
      <c r="D472" s="254">
        <f t="shared" ref="D472:D489" ca="1" si="94">D471+C472</f>
        <v>45.001277105825238</v>
      </c>
      <c r="E472" s="329">
        <f t="shared" ca="1" si="87"/>
        <v>27.900194550132831</v>
      </c>
      <c r="F472" s="159">
        <f t="shared" ca="1" si="85"/>
        <v>469.86575052775333</v>
      </c>
      <c r="G472" s="160">
        <f t="shared" ref="G472:G489" ca="1" si="95">G471+F472</f>
        <v>3431.5897600046301</v>
      </c>
      <c r="H472" s="160">
        <f t="shared" ca="1" si="88"/>
        <v>1804.6619410742358</v>
      </c>
      <c r="I472" s="160">
        <f t="shared" ca="1" si="89"/>
        <v>3083.165079276343</v>
      </c>
      <c r="J472" s="160">
        <f t="shared" ca="1" si="90"/>
        <v>1278.5031382021073</v>
      </c>
      <c r="K472" s="160">
        <f t="shared" ca="1" si="91"/>
        <v>469.86575052775333</v>
      </c>
      <c r="L472" s="160">
        <f t="shared" ca="1" si="92"/>
        <v>1748.3688887298606</v>
      </c>
    </row>
    <row r="473" spans="2:14" ht="17" thickBot="1">
      <c r="B473" s="66">
        <f t="shared" si="93"/>
        <v>4</v>
      </c>
      <c r="C473" s="254">
        <f t="shared" ca="1" si="86"/>
        <v>1.6567719532107361</v>
      </c>
      <c r="D473" s="254">
        <f t="shared" ca="1" si="94"/>
        <v>46.658049059035974</v>
      </c>
      <c r="E473" s="329">
        <f t="shared" ca="1" si="87"/>
        <v>39.321595441885862</v>
      </c>
      <c r="F473" s="159">
        <f t="shared" ca="1" si="85"/>
        <v>-65.146916483615612</v>
      </c>
      <c r="G473" s="160">
        <f t="shared" ca="1" si="95"/>
        <v>3366.4428435210143</v>
      </c>
      <c r="H473" s="160">
        <f t="shared" ca="1" si="88"/>
        <v>1452.7302401115558</v>
      </c>
      <c r="I473" s="160">
        <f t="shared" ca="1" si="89"/>
        <v>1552.2046508852918</v>
      </c>
      <c r="J473" s="160">
        <f t="shared" ca="1" si="90"/>
        <v>99.474410773736054</v>
      </c>
      <c r="K473" s="160">
        <f t="shared" ca="1" si="91"/>
        <v>-65.146916483615612</v>
      </c>
      <c r="L473" s="160">
        <f t="shared" ca="1" si="92"/>
        <v>34.327494290120441</v>
      </c>
    </row>
    <row r="474" spans="2:14" ht="17" thickBot="1">
      <c r="B474" s="66">
        <f t="shared" si="93"/>
        <v>5</v>
      </c>
      <c r="C474" s="254">
        <f t="shared" ca="1" si="86"/>
        <v>-12.533203402844642</v>
      </c>
      <c r="D474" s="254">
        <f t="shared" ca="1" si="94"/>
        <v>34.124845656191333</v>
      </c>
      <c r="E474" s="329">
        <f t="shared" ca="1" si="87"/>
        <v>30.482422883667795</v>
      </c>
      <c r="F474" s="159">
        <f t="shared" ca="1" si="85"/>
        <v>382.04240621253456</v>
      </c>
      <c r="G474" s="160">
        <f t="shared" ca="1" si="95"/>
        <v>3748.4852497335487</v>
      </c>
      <c r="H474" s="160">
        <f t="shared" ca="1" si="88"/>
        <v>1690.3885885424256</v>
      </c>
      <c r="I474" s="160">
        <f t="shared" ca="1" si="89"/>
        <v>2582.9278449956892</v>
      </c>
      <c r="J474" s="160">
        <f t="shared" ca="1" si="90"/>
        <v>892.53925645326353</v>
      </c>
      <c r="K474" s="160">
        <f t="shared" ca="1" si="91"/>
        <v>382.04240621253456</v>
      </c>
      <c r="L474" s="160">
        <f t="shared" ca="1" si="92"/>
        <v>1274.5816626657981</v>
      </c>
    </row>
    <row r="475" spans="2:14" ht="17" thickBot="1">
      <c r="B475" s="66">
        <f t="shared" si="93"/>
        <v>6</v>
      </c>
      <c r="C475" s="254">
        <f t="shared" ca="1" si="86"/>
        <v>-17.909540260972989</v>
      </c>
      <c r="D475" s="254">
        <f t="shared" ca="1" si="94"/>
        <v>16.215305395218344</v>
      </c>
      <c r="E475" s="329">
        <f t="shared" ca="1" si="87"/>
        <v>26.996341192250654</v>
      </c>
      <c r="F475" s="159">
        <f t="shared" ca="1" si="85"/>
        <v>483.49205948157663</v>
      </c>
      <c r="G475" s="160">
        <f t="shared" ca="1" si="95"/>
        <v>4231.9773092151254</v>
      </c>
      <c r="H475" s="160">
        <f t="shared" ca="1" si="88"/>
        <v>1893.3495947385115</v>
      </c>
      <c r="I475" s="160">
        <f t="shared" ca="1" si="89"/>
        <v>3293.0735074772674</v>
      </c>
      <c r="J475" s="160">
        <f t="shared" ca="1" si="90"/>
        <v>1399.7239127387559</v>
      </c>
      <c r="K475" s="160">
        <f t="shared" ca="1" si="91"/>
        <v>483.49205948157663</v>
      </c>
      <c r="L475" s="160">
        <f t="shared" ca="1" si="92"/>
        <v>1883.2159722203326</v>
      </c>
    </row>
    <row r="476" spans="2:14" ht="17" thickBot="1">
      <c r="B476" s="66">
        <f t="shared" si="93"/>
        <v>7</v>
      </c>
      <c r="C476" s="254">
        <f t="shared" ca="1" si="86"/>
        <v>-14.635428712194077</v>
      </c>
      <c r="D476" s="254">
        <f t="shared" ca="1" si="94"/>
        <v>1.579876683024267</v>
      </c>
      <c r="E476" s="329">
        <f t="shared" ca="1" si="87"/>
        <v>30.238765262965238</v>
      </c>
      <c r="F476" s="159">
        <f t="shared" ca="1" si="85"/>
        <v>442.55729335089831</v>
      </c>
      <c r="G476" s="160">
        <f t="shared" ca="1" si="95"/>
        <v>4674.5346025660238</v>
      </c>
      <c r="H476" s="160">
        <f t="shared" ca="1" si="88"/>
        <v>1591.6490033840539</v>
      </c>
      <c r="I476" s="160">
        <f t="shared" ca="1" si="89"/>
        <v>2624.7209296636024</v>
      </c>
      <c r="J476" s="160">
        <f t="shared" ca="1" si="90"/>
        <v>1033.0719262795485</v>
      </c>
      <c r="K476" s="160">
        <f t="shared" ca="1" si="91"/>
        <v>442.55729335089831</v>
      </c>
      <c r="L476" s="160">
        <f t="shared" ca="1" si="92"/>
        <v>1475.6292196304469</v>
      </c>
    </row>
    <row r="477" spans="2:14" ht="17" thickBot="1">
      <c r="B477" s="66">
        <f t="shared" si="93"/>
        <v>8</v>
      </c>
      <c r="C477" s="254">
        <f t="shared" ca="1" si="86"/>
        <v>0.45262956619575334</v>
      </c>
      <c r="D477" s="254">
        <f t="shared" ca="1" si="94"/>
        <v>2.0325062492200203</v>
      </c>
      <c r="E477" s="329">
        <f t="shared" ca="1" si="87"/>
        <v>40.237571681019844</v>
      </c>
      <c r="F477" s="159">
        <f t="shared" ca="1" si="85"/>
        <v>-18.212714614750542</v>
      </c>
      <c r="G477" s="160">
        <f t="shared" ca="1" si="95"/>
        <v>4656.3218879512733</v>
      </c>
      <c r="H477" s="160">
        <f t="shared" ca="1" si="88"/>
        <v>1455.4651102397597</v>
      </c>
      <c r="I477" s="160">
        <f t="shared" ca="1" si="89"/>
        <v>1482.3396144860158</v>
      </c>
      <c r="J477" s="160">
        <f t="shared" ca="1" si="90"/>
        <v>26.874504246256038</v>
      </c>
      <c r="K477" s="160">
        <f t="shared" ca="1" si="91"/>
        <v>-18.212714614750542</v>
      </c>
      <c r="L477" s="160">
        <f t="shared" ca="1" si="92"/>
        <v>8.6617896315054956</v>
      </c>
    </row>
    <row r="478" spans="2:14" ht="17" thickBot="1">
      <c r="B478" s="66">
        <f t="shared" si="93"/>
        <v>9</v>
      </c>
      <c r="C478" s="254">
        <f t="shared" ca="1" si="86"/>
        <v>3.4834980013976775</v>
      </c>
      <c r="D478" s="254">
        <f t="shared" ca="1" si="94"/>
        <v>5.5160042506176978</v>
      </c>
      <c r="E478" s="329">
        <f t="shared" ca="1" si="87"/>
        <v>39.068848066542074</v>
      </c>
      <c r="F478" s="159">
        <f t="shared" ca="1" si="85"/>
        <v>-136.09625415670882</v>
      </c>
      <c r="G478" s="160">
        <f t="shared" ca="1" si="95"/>
        <v>4520.2256337945646</v>
      </c>
      <c r="H478" s="160">
        <f t="shared" ca="1" si="88"/>
        <v>1365.6424243785464</v>
      </c>
      <c r="I478" s="160">
        <f t="shared" ca="1" si="89"/>
        <v>1572.3529107483494</v>
      </c>
      <c r="J478" s="160">
        <f t="shared" ca="1" si="90"/>
        <v>206.71048636980299</v>
      </c>
      <c r="K478" s="160">
        <f t="shared" ca="1" si="91"/>
        <v>-136.09625415670882</v>
      </c>
      <c r="L478" s="160">
        <f t="shared" ca="1" si="92"/>
        <v>70.614232213094169</v>
      </c>
    </row>
    <row r="479" spans="2:14" ht="17" thickBot="1">
      <c r="B479" s="66">
        <v>10</v>
      </c>
      <c r="C479" s="254">
        <f t="shared" ca="1" si="86"/>
        <v>-13.003165731465671</v>
      </c>
      <c r="D479" s="254">
        <f t="shared" ca="1" si="94"/>
        <v>-7.4871614808479734</v>
      </c>
      <c r="E479" s="329">
        <f t="shared" ca="1" si="87"/>
        <v>30.397912157722509</v>
      </c>
      <c r="F479" s="159">
        <f t="shared" ca="1" si="85"/>
        <v>395.26908967740104</v>
      </c>
      <c r="G479" s="160">
        <f t="shared" ca="1" si="95"/>
        <v>4915.4947234719657</v>
      </c>
      <c r="H479" s="160">
        <f t="shared" ca="1" si="88"/>
        <v>1672.1228251218199</v>
      </c>
      <c r="I479" s="160">
        <f t="shared" ca="1" si="89"/>
        <v>2597.3096577119773</v>
      </c>
      <c r="J479" s="160">
        <f t="shared" ca="1" si="90"/>
        <v>925.18683259015734</v>
      </c>
      <c r="K479" s="160">
        <f t="shared" ca="1" si="91"/>
        <v>395.26908967740104</v>
      </c>
      <c r="L479" s="160">
        <f t="shared" ca="1" si="92"/>
        <v>1320.4559222675584</v>
      </c>
    </row>
    <row r="480" spans="2:14" ht="17" thickBot="1">
      <c r="B480" s="66">
        <v>11</v>
      </c>
      <c r="C480" s="254">
        <f t="shared" ca="1" si="86"/>
        <v>-15.91747315684897</v>
      </c>
      <c r="D480" s="254">
        <f t="shared" ca="1" si="94"/>
        <v>-23.404634637696944</v>
      </c>
      <c r="E480" s="329">
        <f t="shared" ca="1" si="87"/>
        <v>29.445520856898426</v>
      </c>
      <c r="F480" s="159">
        <f t="shared" ca="1" si="85"/>
        <v>468.69828782911719</v>
      </c>
      <c r="G480" s="160">
        <f t="shared" ca="1" si="95"/>
        <v>5384.1930113010831</v>
      </c>
      <c r="H480" s="160">
        <f t="shared" ca="1" si="88"/>
        <v>1622.6853110446827</v>
      </c>
      <c r="I480" s="160">
        <f t="shared" ca="1" si="89"/>
        <v>2768.0425384216855</v>
      </c>
      <c r="J480" s="160">
        <f t="shared" ca="1" si="90"/>
        <v>1145.3572273770028</v>
      </c>
      <c r="K480" s="160">
        <f t="shared" ca="1" si="91"/>
        <v>468.69828782911719</v>
      </c>
      <c r="L480" s="160">
        <f t="shared" ca="1" si="92"/>
        <v>1614.0555152061199</v>
      </c>
    </row>
    <row r="481" spans="2:12" ht="17" thickBot="1">
      <c r="B481" s="66">
        <v>12</v>
      </c>
      <c r="C481" s="254">
        <f t="shared" ca="1" si="86"/>
        <v>4.2350062443251559</v>
      </c>
      <c r="D481" s="254">
        <f t="shared" ca="1" si="94"/>
        <v>-19.169628393371788</v>
      </c>
      <c r="E481" s="329">
        <f t="shared" ca="1" si="87"/>
        <v>39.16866191157672</v>
      </c>
      <c r="F481" s="159">
        <f t="shared" ca="1" si="85"/>
        <v>-165.87952777738832</v>
      </c>
      <c r="G481" s="160">
        <f t="shared" ca="1" si="95"/>
        <v>5218.3134835236951</v>
      </c>
      <c r="H481" s="160">
        <f t="shared" ca="1" si="88"/>
        <v>1315.6170603155965</v>
      </c>
      <c r="I481" s="160">
        <f t="shared" ca="1" si="89"/>
        <v>1564.3494399615577</v>
      </c>
      <c r="J481" s="160">
        <f t="shared" ca="1" si="90"/>
        <v>248.73237964596115</v>
      </c>
      <c r="K481" s="160">
        <f t="shared" ca="1" si="91"/>
        <v>-165.87952777738832</v>
      </c>
      <c r="L481" s="160">
        <f t="shared" ca="1" si="92"/>
        <v>82.852851868572827</v>
      </c>
    </row>
    <row r="482" spans="2:12" ht="17" thickBot="1">
      <c r="B482" s="66">
        <v>13</v>
      </c>
      <c r="C482" s="254">
        <f t="shared" ca="1" si="86"/>
        <v>5.0811133679137441</v>
      </c>
      <c r="D482" s="254">
        <f t="shared" ca="1" si="94"/>
        <v>-14.088515025458044</v>
      </c>
      <c r="E482" s="329">
        <f t="shared" ca="1" si="87"/>
        <v>39.679807728476007</v>
      </c>
      <c r="F482" s="159">
        <f t="shared" ca="1" si="85"/>
        <v>-201.61760148540654</v>
      </c>
      <c r="G482" s="160">
        <f t="shared" ca="1" si="95"/>
        <v>5016.6958820382888</v>
      </c>
      <c r="H482" s="160">
        <f t="shared" ca="1" si="88"/>
        <v>1232.4696085388327</v>
      </c>
      <c r="I482" s="160">
        <f t="shared" ca="1" si="89"/>
        <v>1524.3058751902493</v>
      </c>
      <c r="J482" s="160">
        <f t="shared" ca="1" si="90"/>
        <v>291.83626665141651</v>
      </c>
      <c r="K482" s="160">
        <f t="shared" ca="1" si="91"/>
        <v>-201.61760148540654</v>
      </c>
      <c r="L482" s="160">
        <f t="shared" ca="1" si="92"/>
        <v>90.21866516600997</v>
      </c>
    </row>
    <row r="483" spans="2:12" ht="17" thickBot="1">
      <c r="B483" s="66">
        <v>14</v>
      </c>
      <c r="C483" s="254">
        <f t="shared" ca="1" si="86"/>
        <v>6.51692026400098</v>
      </c>
      <c r="D483" s="254">
        <f t="shared" ca="1" si="94"/>
        <v>-7.5715947614570638</v>
      </c>
      <c r="E483" s="329">
        <f t="shared" ca="1" si="87"/>
        <v>39.386891946400297</v>
      </c>
      <c r="F483" s="159">
        <f t="shared" ca="1" si="85"/>
        <v>-256.68123426151311</v>
      </c>
      <c r="G483" s="160">
        <f t="shared" ca="1" si="95"/>
        <v>4760.0146477767757</v>
      </c>
      <c r="H483" s="160">
        <f t="shared" ca="1" si="88"/>
        <v>1175.4426301255464</v>
      </c>
      <c r="I483" s="160">
        <f t="shared" ca="1" si="89"/>
        <v>1547.0623550673488</v>
      </c>
      <c r="J483" s="160">
        <f t="shared" ca="1" si="90"/>
        <v>371.61972494180236</v>
      </c>
      <c r="K483" s="160">
        <f t="shared" ca="1" si="91"/>
        <v>-256.68123426151311</v>
      </c>
      <c r="L483" s="160">
        <f t="shared" ca="1" si="92"/>
        <v>114.93849068028925</v>
      </c>
    </row>
    <row r="484" spans="2:12" ht="17" thickBot="1">
      <c r="B484" s="66">
        <v>15</v>
      </c>
      <c r="C484" s="254">
        <f t="shared" ca="1" si="86"/>
        <v>-20.505744430625967</v>
      </c>
      <c r="D484" s="254">
        <f t="shared" ca="1" si="94"/>
        <v>-28.077339192083031</v>
      </c>
      <c r="E484" s="329">
        <f t="shared" ca="1" si="87"/>
        <v>25.994716239097137</v>
      </c>
      <c r="F484" s="159">
        <f t="shared" ca="1" si="85"/>
        <v>533.04100774556855</v>
      </c>
      <c r="G484" s="160">
        <f t="shared" ca="1" si="95"/>
        <v>5293.0556555223448</v>
      </c>
      <c r="H484" s="160">
        <f t="shared" ca="1" si="88"/>
        <v>1910.8079330539597</v>
      </c>
      <c r="I484" s="160">
        <f t="shared" ca="1" si="89"/>
        <v>3551.7392913975541</v>
      </c>
      <c r="J484" s="160">
        <f t="shared" ca="1" si="90"/>
        <v>1640.9313583435944</v>
      </c>
      <c r="K484" s="160">
        <f t="shared" ca="1" si="91"/>
        <v>533.04100774556855</v>
      </c>
      <c r="L484" s="160">
        <f t="shared" ca="1" si="92"/>
        <v>2173.9723660891632</v>
      </c>
    </row>
    <row r="485" spans="2:12" ht="17" thickBot="1">
      <c r="B485" s="66">
        <v>16</v>
      </c>
      <c r="C485" s="254">
        <f t="shared" ca="1" si="86"/>
        <v>-9.9546244550081298</v>
      </c>
      <c r="D485" s="254">
        <f t="shared" ca="1" si="94"/>
        <v>-38.03196364709116</v>
      </c>
      <c r="E485" s="329">
        <f t="shared" ca="1" si="87"/>
        <v>32.908967212008783</v>
      </c>
      <c r="F485" s="159">
        <f t="shared" ca="1" si="85"/>
        <v>327.59640979772331</v>
      </c>
      <c r="G485" s="160">
        <f t="shared" ca="1" si="95"/>
        <v>5620.6520653200678</v>
      </c>
      <c r="H485" s="160">
        <f t="shared" ca="1" si="88"/>
        <v>1549.5476182630166</v>
      </c>
      <c r="I485" s="160">
        <f t="shared" ca="1" si="89"/>
        <v>2216.066230387929</v>
      </c>
      <c r="J485" s="160">
        <f t="shared" ca="1" si="90"/>
        <v>666.51861212491235</v>
      </c>
      <c r="K485" s="160">
        <f t="shared" ca="1" si="91"/>
        <v>327.59640979772331</v>
      </c>
      <c r="L485" s="160">
        <f t="shared" ca="1" si="92"/>
        <v>994.11502192263561</v>
      </c>
    </row>
    <row r="486" spans="2:12" ht="17" thickBot="1">
      <c r="B486" s="66">
        <v>17</v>
      </c>
      <c r="C486" s="254">
        <f t="shared" ca="1" si="86"/>
        <v>-9.1996713121041509</v>
      </c>
      <c r="D486" s="254">
        <f t="shared" ca="1" si="94"/>
        <v>-47.231634959195311</v>
      </c>
      <c r="E486" s="329">
        <f t="shared" ca="1" si="87"/>
        <v>32.407258689834379</v>
      </c>
      <c r="F486" s="159">
        <f t="shared" ca="1" si="85"/>
        <v>298.13612807280731</v>
      </c>
      <c r="G486" s="160">
        <f t="shared" ca="1" si="95"/>
        <v>5918.7881933928747</v>
      </c>
      <c r="H486" s="160">
        <f t="shared" ca="1" si="88"/>
        <v>1654.6886826122447</v>
      </c>
      <c r="I486" s="160">
        <f t="shared" ca="1" si="89"/>
        <v>2285.2128103669843</v>
      </c>
      <c r="J486" s="160">
        <f t="shared" ca="1" si="90"/>
        <v>630.52412775473954</v>
      </c>
      <c r="K486" s="160">
        <f t="shared" ca="1" si="91"/>
        <v>298.13612807280731</v>
      </c>
      <c r="L486" s="160">
        <f t="shared" ca="1" si="92"/>
        <v>928.66025582754685</v>
      </c>
    </row>
    <row r="487" spans="2:12" ht="17" thickBot="1">
      <c r="B487" s="66">
        <v>18</v>
      </c>
      <c r="C487" s="254">
        <f t="shared" ca="1" si="86"/>
        <v>-19.489485190555868</v>
      </c>
      <c r="D487" s="254">
        <f t="shared" ca="1" si="94"/>
        <v>-66.721120149751187</v>
      </c>
      <c r="E487" s="329">
        <f t="shared" ca="1" si="87"/>
        <v>27.224036801053835</v>
      </c>
      <c r="F487" s="159">
        <f t="shared" ca="1" si="85"/>
        <v>530.58246206128672</v>
      </c>
      <c r="G487" s="160">
        <f t="shared" ca="1" si="95"/>
        <v>6449.3706554541614</v>
      </c>
      <c r="H487" s="160">
        <f t="shared" ca="1" si="88"/>
        <v>1747.9807356831448</v>
      </c>
      <c r="I487" s="160">
        <f t="shared" ca="1" si="89"/>
        <v>3238.2188415079336</v>
      </c>
      <c r="J487" s="160">
        <f t="shared" ca="1" si="90"/>
        <v>1490.2381058247888</v>
      </c>
      <c r="K487" s="160">
        <f t="shared" ca="1" si="91"/>
        <v>530.58246206128672</v>
      </c>
      <c r="L487" s="160">
        <f t="shared" ca="1" si="92"/>
        <v>2020.8205678860754</v>
      </c>
    </row>
    <row r="488" spans="2:12" ht="17" thickBot="1">
      <c r="B488" s="66">
        <v>19</v>
      </c>
      <c r="C488" s="254">
        <f t="shared" ca="1" si="86"/>
        <v>6.4965999730697206</v>
      </c>
      <c r="D488" s="254">
        <f t="shared" ca="1" si="94"/>
        <v>-60.224520176681466</v>
      </c>
      <c r="E488" s="329">
        <f t="shared" ca="1" si="87"/>
        <v>40.439827415430315</v>
      </c>
      <c r="F488" s="159">
        <f t="shared" ca="1" si="85"/>
        <v>-262.72138169802872</v>
      </c>
      <c r="G488" s="160">
        <f t="shared" ca="1" si="95"/>
        <v>6186.649273756133</v>
      </c>
      <c r="H488" s="160">
        <f t="shared" ca="1" si="88"/>
        <v>1107.3160951340863</v>
      </c>
      <c r="I488" s="160">
        <f t="shared" ca="1" si="89"/>
        <v>1467.5491483802596</v>
      </c>
      <c r="J488" s="160">
        <f t="shared" ca="1" si="90"/>
        <v>360.23305324617331</v>
      </c>
      <c r="K488" s="160">
        <f t="shared" ca="1" si="91"/>
        <v>-262.72138169802872</v>
      </c>
      <c r="L488" s="160">
        <f t="shared" ca="1" si="92"/>
        <v>97.511671548144591</v>
      </c>
    </row>
    <row r="489" spans="2:12" ht="17" thickBot="1">
      <c r="B489" s="66">
        <v>20</v>
      </c>
      <c r="C489" s="254">
        <f t="shared" ca="1" si="86"/>
        <v>-19.976985903670126</v>
      </c>
      <c r="D489" s="254">
        <f t="shared" ca="1" si="94"/>
        <v>-80.201506080351592</v>
      </c>
      <c r="E489" s="329">
        <f t="shared" ca="1" si="87"/>
        <v>25.677414233013728</v>
      </c>
      <c r="F489" s="159">
        <f t="shared" ca="1" si="85"/>
        <v>512.95734217561392</v>
      </c>
      <c r="G489" s="160">
        <f t="shared" ca="1" si="95"/>
        <v>6699.606615931747</v>
      </c>
      <c r="H489" s="160">
        <f t="shared" ca="1" si="88"/>
        <v>2012.312986259438</v>
      </c>
      <c r="I489" s="160">
        <f t="shared" ca="1" si="89"/>
        <v>3640.0610466063581</v>
      </c>
      <c r="J489" s="160">
        <f t="shared" ca="1" si="90"/>
        <v>1627.7480603469201</v>
      </c>
      <c r="K489" s="160">
        <f t="shared" ca="1" si="91"/>
        <v>512.95734217561392</v>
      </c>
      <c r="L489" s="160">
        <f t="shared" ca="1" si="92"/>
        <v>2140.7054025225339</v>
      </c>
    </row>
    <row r="490" spans="2:12" ht="17" thickBot="1">
      <c r="B490" s="19" t="s">
        <v>251</v>
      </c>
      <c r="C490" s="254">
        <f t="shared" ref="C490:L490" ca="1" si="96">AVERAGE(C470:C489)</f>
        <v>-7.9045484426496184</v>
      </c>
      <c r="D490" s="254">
        <f t="shared" ca="1" si="96"/>
        <v>-6.0048908804816801</v>
      </c>
      <c r="E490" s="254">
        <f t="shared" ca="1" si="96"/>
        <v>33.149063944651935</v>
      </c>
      <c r="F490" s="159">
        <f t="shared" ca="1" si="96"/>
        <v>206.23441999643288</v>
      </c>
      <c r="G490" s="159">
        <f t="shared" ca="1" si="96"/>
        <v>4806.1480499521967</v>
      </c>
      <c r="H490" s="159">
        <f t="shared" ca="1" si="96"/>
        <v>1579.1309695473069</v>
      </c>
      <c r="I490" s="159">
        <f t="shared" ca="1" si="96"/>
        <v>2378.72543369186</v>
      </c>
      <c r="J490" s="159">
        <f t="shared" ca="1" si="96"/>
        <v>799.59446414455226</v>
      </c>
      <c r="K490" s="159">
        <f t="shared" ca="1" si="96"/>
        <v>206.23441999643288</v>
      </c>
      <c r="L490" s="159">
        <f t="shared" ca="1" si="96"/>
        <v>1005.8288841409852</v>
      </c>
    </row>
    <row r="491" spans="2:12" ht="17" thickBot="1">
      <c r="B491" s="19" t="s">
        <v>394</v>
      </c>
      <c r="C491" s="254">
        <f t="shared" ref="C491:L491" ca="1" si="97">STDEV(C470:C489)</f>
        <v>10.346307076678299</v>
      </c>
      <c r="D491" s="254">
        <f t="shared" ca="1" si="97"/>
        <v>41.340252442697548</v>
      </c>
      <c r="E491" s="254">
        <f t="shared" ca="1" si="97"/>
        <v>5.7492518425431367</v>
      </c>
      <c r="F491" s="159">
        <f t="shared" ca="1" si="97"/>
        <v>310.19362614516774</v>
      </c>
      <c r="G491" s="159">
        <f t="shared" ca="1" si="97"/>
        <v>1096.5073886429652</v>
      </c>
      <c r="H491" s="159">
        <f t="shared" ca="1" si="97"/>
        <v>266.39045604448506</v>
      </c>
      <c r="I491" s="159">
        <f t="shared" ca="1" si="97"/>
        <v>805.20766233358881</v>
      </c>
      <c r="J491" s="159">
        <f t="shared" ca="1" si="97"/>
        <v>560.91571869311929</v>
      </c>
      <c r="K491" s="159">
        <f t="shared" ca="1" si="97"/>
        <v>310.19362614516774</v>
      </c>
      <c r="L491" s="159">
        <f t="shared" ca="1" si="97"/>
        <v>851.43530056307941</v>
      </c>
    </row>
    <row r="492" spans="2:12" ht="17" thickBot="1">
      <c r="B492" s="19" t="s">
        <v>395</v>
      </c>
      <c r="C492" s="339">
        <f t="shared" ref="C492:L492" ca="1" si="98">C491/C490</f>
        <v>-1.3089055183537086</v>
      </c>
      <c r="D492" s="339">
        <f t="shared" ca="1" si="98"/>
        <v>-6.8844302528577259</v>
      </c>
      <c r="E492" s="339">
        <f t="shared" ca="1" si="98"/>
        <v>0.17343632544624796</v>
      </c>
      <c r="F492" s="339">
        <f t="shared" ca="1" si="98"/>
        <v>1.5040827139840818</v>
      </c>
      <c r="G492" s="339">
        <f t="shared" ca="1" si="98"/>
        <v>0.22814681887585037</v>
      </c>
      <c r="H492" s="339">
        <f t="shared" ca="1" si="98"/>
        <v>0.16869433959670352</v>
      </c>
      <c r="I492" s="339">
        <f t="shared" ca="1" si="98"/>
        <v>0.33850382685145802</v>
      </c>
      <c r="J492" s="339">
        <f t="shared" ca="1" si="98"/>
        <v>0.70150025274776773</v>
      </c>
      <c r="K492" s="339">
        <f t="shared" ca="1" si="98"/>
        <v>1.5040827139840818</v>
      </c>
      <c r="L492" s="339">
        <f t="shared" ca="1" si="98"/>
        <v>0.84650114347256633</v>
      </c>
    </row>
    <row r="493" spans="2:12" ht="17" customHeight="1">
      <c r="B493" s="65"/>
      <c r="C493" s="13"/>
      <c r="D493" s="1"/>
      <c r="E493" s="10"/>
      <c r="F493" s="1"/>
    </row>
    <row r="494" spans="2:12" ht="17" customHeight="1" thickBot="1">
      <c r="B494" s="65"/>
      <c r="C494" s="13"/>
      <c r="D494" s="1"/>
      <c r="E494" s="10"/>
      <c r="F494" s="1"/>
      <c r="G494" s="2" t="s">
        <v>200</v>
      </c>
    </row>
    <row r="495" spans="2:12" ht="17" customHeight="1" thickBot="1">
      <c r="B495" s="65"/>
      <c r="C495" s="297"/>
      <c r="D495" s="139"/>
      <c r="E495" s="153"/>
      <c r="F495" s="139"/>
      <c r="G495" s="154" t="s">
        <v>109</v>
      </c>
      <c r="H495" s="139"/>
      <c r="I495" s="139"/>
      <c r="J495" s="139"/>
      <c r="K495" s="155"/>
    </row>
    <row r="496" spans="2:12" ht="17" customHeight="1" thickBot="1">
      <c r="B496" s="65"/>
      <c r="C496" s="13"/>
      <c r="D496" s="1"/>
      <c r="E496" s="10"/>
      <c r="F496" s="342" t="s">
        <v>152</v>
      </c>
      <c r="G496" s="342" t="s">
        <v>144</v>
      </c>
      <c r="H496" s="342" t="s">
        <v>181</v>
      </c>
    </row>
    <row r="497" spans="2:12" ht="17" customHeight="1" thickBot="1">
      <c r="B497" s="65"/>
      <c r="C497" s="13"/>
      <c r="D497" s="1"/>
      <c r="E497" s="12" t="s">
        <v>179</v>
      </c>
      <c r="F497" s="285">
        <f ca="1">$E$436</f>
        <v>8.5623895850789958E-2</v>
      </c>
      <c r="G497" s="285">
        <f ca="1">$G$322</f>
        <v>4.7248245604036808E-2</v>
      </c>
      <c r="H497" s="285">
        <f ca="1">$F$436</f>
        <v>0.12675887249584805</v>
      </c>
    </row>
    <row r="498" spans="2:12" ht="17" customHeight="1" thickBot="1">
      <c r="B498" s="65"/>
      <c r="C498" s="13"/>
      <c r="D498" s="1"/>
      <c r="E498" s="12" t="s">
        <v>180</v>
      </c>
      <c r="F498" s="285">
        <f ca="1">$H$436</f>
        <v>0.17270855985208791</v>
      </c>
      <c r="G498" s="285">
        <f ca="1">$I$436</f>
        <v>0.17343632544624796</v>
      </c>
      <c r="H498" s="285">
        <v>0</v>
      </c>
      <c r="I498" s="17" t="s">
        <v>115</v>
      </c>
    </row>
    <row r="499" spans="2:12" ht="17" customHeight="1" thickBot="1">
      <c r="B499" s="65"/>
      <c r="C499" s="13"/>
      <c r="D499" s="1"/>
      <c r="E499" s="12" t="s">
        <v>124</v>
      </c>
      <c r="F499" s="341">
        <f ca="1">(F498-F497)/F497</f>
        <v>1.0170602859866777</v>
      </c>
      <c r="G499" s="341">
        <f ca="1">(G498-G497)/G497</f>
        <v>2.6707463574357533</v>
      </c>
      <c r="H499" s="341">
        <f ca="1">(H498-H497)/H497</f>
        <v>-1</v>
      </c>
      <c r="I499" s="17" t="s">
        <v>116</v>
      </c>
    </row>
    <row r="500" spans="2:12" ht="17" customHeight="1">
      <c r="B500" s="13"/>
      <c r="C500" s="13"/>
      <c r="D500" s="1"/>
      <c r="E500" s="10"/>
      <c r="F500" s="1"/>
      <c r="K500" s="228"/>
    </row>
    <row r="501" spans="2:12" ht="17" customHeight="1" thickBot="1">
      <c r="B501" s="13" t="s">
        <v>125</v>
      </c>
      <c r="C501" s="13"/>
      <c r="D501" s="1"/>
      <c r="E501" s="10"/>
      <c r="F501" s="1"/>
      <c r="H501" s="228"/>
      <c r="J501" s="379">
        <f ca="1">L490/I490</f>
        <v>0.42284362452874846</v>
      </c>
      <c r="K501" s="344">
        <f ca="1">L490</f>
        <v>1005.8288841409852</v>
      </c>
      <c r="L501" s="343">
        <f ca="1">I490</f>
        <v>2378.72543369186</v>
      </c>
    </row>
    <row r="502" spans="2:12" ht="17" customHeight="1">
      <c r="B502" s="13" t="s">
        <v>36</v>
      </c>
      <c r="C502" s="13"/>
      <c r="D502" s="1"/>
      <c r="E502" s="10"/>
      <c r="F502" s="1"/>
    </row>
    <row r="503" spans="2:12" ht="17" customHeight="1">
      <c r="B503" s="13" t="s">
        <v>37</v>
      </c>
      <c r="C503" s="13"/>
      <c r="D503" s="1"/>
      <c r="E503" s="10"/>
      <c r="F503" s="1"/>
    </row>
    <row r="504" spans="2:12" ht="17" customHeight="1">
      <c r="B504" s="13" t="s">
        <v>38</v>
      </c>
      <c r="C504" s="13"/>
      <c r="D504" s="1"/>
      <c r="E504" s="10"/>
      <c r="F504" s="1"/>
    </row>
    <row r="505" spans="2:12" ht="17" customHeight="1">
      <c r="B505" s="13" t="s">
        <v>26</v>
      </c>
      <c r="C505" s="13"/>
      <c r="D505" s="1"/>
      <c r="E505" s="10"/>
      <c r="F505" s="1"/>
    </row>
    <row r="506" spans="2:12" ht="17" customHeight="1">
      <c r="B506" s="13" t="s">
        <v>27</v>
      </c>
      <c r="C506" s="13"/>
      <c r="D506" s="1"/>
      <c r="E506" s="10"/>
      <c r="F506" s="1"/>
    </row>
    <row r="507" spans="2:12" ht="17" customHeight="1">
      <c r="B507" s="13" t="s">
        <v>28</v>
      </c>
      <c r="C507" s="13"/>
      <c r="D507" s="1"/>
      <c r="E507" s="10"/>
      <c r="F507" s="1"/>
    </row>
    <row r="508" spans="2:12" ht="17" customHeight="1">
      <c r="B508" s="13" t="s">
        <v>29</v>
      </c>
      <c r="C508" s="13"/>
      <c r="D508" s="1"/>
      <c r="E508" s="10"/>
      <c r="F508" s="1"/>
    </row>
    <row r="509" spans="2:12" ht="17" customHeight="1">
      <c r="B509" s="65"/>
      <c r="C509" s="13"/>
      <c r="D509" s="1"/>
      <c r="E509" s="10"/>
      <c r="F509" s="1"/>
    </row>
    <row r="510" spans="2:12" ht="17" customHeight="1">
      <c r="B510" s="65">
        <v>5</v>
      </c>
      <c r="C510" s="65" t="s">
        <v>311</v>
      </c>
      <c r="D510" s="1"/>
      <c r="E510" s="10"/>
      <c r="F510" s="1"/>
    </row>
    <row r="511" spans="2:12" ht="17" customHeight="1">
      <c r="B511" s="65"/>
      <c r="C511" s="13" t="s">
        <v>312</v>
      </c>
      <c r="D511" s="1"/>
      <c r="E511" s="10"/>
      <c r="F511" s="1"/>
    </row>
    <row r="512" spans="2:12" ht="17" customHeight="1">
      <c r="B512" s="65"/>
      <c r="C512" s="13" t="s">
        <v>313</v>
      </c>
      <c r="D512" s="1"/>
      <c r="E512" s="10"/>
      <c r="F512" s="1"/>
    </row>
    <row r="513" spans="2:12" ht="17" customHeight="1">
      <c r="B513" s="65"/>
      <c r="C513" s="13" t="s">
        <v>314</v>
      </c>
      <c r="D513" s="1"/>
      <c r="E513" s="10"/>
      <c r="F513" s="1"/>
    </row>
    <row r="514" spans="2:12" ht="17" customHeight="1">
      <c r="B514" s="65"/>
      <c r="C514" s="13" t="s">
        <v>315</v>
      </c>
      <c r="D514" s="1"/>
      <c r="E514" s="10"/>
      <c r="F514" s="1"/>
    </row>
    <row r="515" spans="2:12" ht="17" customHeight="1">
      <c r="B515" s="65"/>
      <c r="C515" s="13" t="s">
        <v>316</v>
      </c>
      <c r="D515" s="1"/>
      <c r="E515" s="10"/>
      <c r="F515" s="1"/>
    </row>
    <row r="516" spans="2:12" ht="17" customHeight="1" thickBot="1">
      <c r="B516" s="65"/>
      <c r="C516" s="13"/>
      <c r="D516" s="1"/>
      <c r="E516" s="10"/>
      <c r="F516" s="1"/>
      <c r="G516" s="172"/>
    </row>
    <row r="517" spans="2:12" ht="17" customHeight="1" thickBot="1">
      <c r="B517" s="65"/>
      <c r="C517" s="13"/>
      <c r="D517" s="1"/>
      <c r="E517" s="12" t="s">
        <v>365</v>
      </c>
      <c r="F517" s="67">
        <v>0.05</v>
      </c>
      <c r="G517" s="298"/>
      <c r="H517" s="71" t="str">
        <f>G245</f>
        <v>15. Pd =</v>
      </c>
      <c r="I517" s="72">
        <f>H245</f>
        <v>80</v>
      </c>
      <c r="J517" s="79">
        <f>I245</f>
        <v>-0.8</v>
      </c>
      <c r="K517" s="80" t="str">
        <f>J245</f>
        <v>Qd</v>
      </c>
    </row>
    <row r="518" spans="2:12" ht="17" customHeight="1" thickBot="1">
      <c r="B518" s="65"/>
      <c r="C518" s="13"/>
      <c r="D518" s="1"/>
      <c r="E518" s="12" t="s">
        <v>366</v>
      </c>
      <c r="F518" s="68">
        <f>I520*(1+$F$517)</f>
        <v>2100</v>
      </c>
      <c r="G518" s="299"/>
      <c r="H518" s="71" t="str">
        <f>G246</f>
        <v>16. Ps =</v>
      </c>
      <c r="I518" s="72">
        <f t="shared" ref="I518:K520" si="99">H246</f>
        <v>20</v>
      </c>
      <c r="J518" s="166">
        <f t="shared" si="99"/>
        <v>0.4</v>
      </c>
      <c r="K518" s="80" t="str">
        <f t="shared" si="99"/>
        <v>Qs</v>
      </c>
    </row>
    <row r="519" spans="2:12" ht="17" customHeight="1" thickBot="1">
      <c r="B519" s="65"/>
      <c r="C519" s="13"/>
      <c r="D519" s="1"/>
      <c r="E519" s="12" t="s">
        <v>367</v>
      </c>
      <c r="F519" s="68">
        <f>$I$520/(1+$F$517)</f>
        <v>1904.7619047619044</v>
      </c>
      <c r="G519" s="299"/>
      <c r="H519" s="71" t="str">
        <f>G247</f>
        <v>17. Qe =</v>
      </c>
      <c r="I519" s="289">
        <f t="shared" si="99"/>
        <v>49.999999999999993</v>
      </c>
      <c r="J519" s="290" t="str">
        <f t="shared" si="99"/>
        <v>18. Pe =</v>
      </c>
      <c r="K519" s="16">
        <f t="shared" si="99"/>
        <v>40</v>
      </c>
    </row>
    <row r="520" spans="2:12" ht="17" customHeight="1" thickBot="1">
      <c r="B520" s="65"/>
      <c r="C520" s="13"/>
      <c r="D520" s="10"/>
      <c r="E520" s="10"/>
      <c r="F520" s="1"/>
      <c r="H520" s="71" t="str">
        <f>G248</f>
        <v>19. TR =</v>
      </c>
      <c r="I520" s="16">
        <f t="shared" si="99"/>
        <v>1999.9999999999998</v>
      </c>
      <c r="J520" s="17" t="s">
        <v>330</v>
      </c>
    </row>
    <row r="521" spans="2:12" ht="17" customHeight="1" thickBot="1">
      <c r="B521" s="65"/>
      <c r="C521" s="13"/>
      <c r="D521" s="10"/>
      <c r="E521" s="10"/>
      <c r="F521" s="172"/>
      <c r="G521" s="262" t="s">
        <v>8</v>
      </c>
      <c r="H521" s="270"/>
    </row>
    <row r="522" spans="2:12" ht="17" customHeight="1" thickBot="1">
      <c r="B522" s="65"/>
      <c r="C522" s="291"/>
      <c r="D522" s="92"/>
      <c r="E522" s="92"/>
      <c r="F522" s="292"/>
      <c r="G522" s="293" t="s">
        <v>369</v>
      </c>
      <c r="H522" s="294"/>
      <c r="I522" s="93"/>
      <c r="J522" s="93"/>
      <c r="K522" s="93"/>
      <c r="L522" s="295"/>
    </row>
    <row r="523" spans="2:12" ht="17" customHeight="1">
      <c r="B523" s="65"/>
      <c r="C523" s="184" t="s">
        <v>250</v>
      </c>
      <c r="D523" s="185" t="s">
        <v>250</v>
      </c>
      <c r="E523" s="185" t="s">
        <v>250</v>
      </c>
      <c r="F523" s="120" t="s">
        <v>250</v>
      </c>
      <c r="G523" s="185" t="s">
        <v>237</v>
      </c>
      <c r="H523" s="185" t="s">
        <v>272</v>
      </c>
      <c r="I523" s="185" t="s">
        <v>370</v>
      </c>
      <c r="J523" s="185" t="s">
        <v>272</v>
      </c>
      <c r="K523" s="185" t="s">
        <v>272</v>
      </c>
      <c r="L523" s="185" t="s">
        <v>272</v>
      </c>
    </row>
    <row r="524" spans="2:12" ht="17" customHeight="1">
      <c r="B524" s="65"/>
      <c r="C524" s="186" t="s">
        <v>319</v>
      </c>
      <c r="D524" s="187" t="s">
        <v>83</v>
      </c>
      <c r="E524" s="187" t="s">
        <v>34</v>
      </c>
      <c r="F524" s="187" t="s">
        <v>412</v>
      </c>
      <c r="G524" s="187" t="s">
        <v>84</v>
      </c>
      <c r="H524" s="187" t="s">
        <v>34</v>
      </c>
      <c r="I524" s="187" t="s">
        <v>34</v>
      </c>
      <c r="J524" s="187" t="s">
        <v>319</v>
      </c>
      <c r="K524" s="187" t="s">
        <v>83</v>
      </c>
      <c r="L524" s="187" t="s">
        <v>412</v>
      </c>
    </row>
    <row r="525" spans="2:12" ht="17" customHeight="1" thickBot="1">
      <c r="B525" s="65"/>
      <c r="C525" s="188" t="s">
        <v>321</v>
      </c>
      <c r="D525" s="189" t="s">
        <v>321</v>
      </c>
      <c r="E525" s="189" t="s">
        <v>152</v>
      </c>
      <c r="F525" s="189" t="s">
        <v>413</v>
      </c>
      <c r="G525" s="189" t="s">
        <v>236</v>
      </c>
      <c r="H525" s="189" t="s">
        <v>152</v>
      </c>
      <c r="I525" s="189" t="s">
        <v>144</v>
      </c>
      <c r="J525" s="189" t="s">
        <v>321</v>
      </c>
      <c r="K525" s="189" t="s">
        <v>321</v>
      </c>
      <c r="L525" s="189" t="s">
        <v>413</v>
      </c>
    </row>
    <row r="526" spans="2:12" ht="17" customHeight="1" thickBot="1">
      <c r="B526" s="66">
        <v>1</v>
      </c>
      <c r="C526" s="77">
        <f>E64</f>
        <v>87.077743790840032</v>
      </c>
      <c r="D526" s="77">
        <f>F64</f>
        <v>18.475750459991104</v>
      </c>
      <c r="E526" s="77">
        <f>G64</f>
        <v>57.168327775707432</v>
      </c>
      <c r="F526" s="97">
        <f>I64</f>
        <v>2363.514838467238</v>
      </c>
      <c r="G526" s="98" t="str">
        <f t="shared" ref="G526:G545" si="100">IF(F526&gt;$F$518,"sell",IF(F526&lt;$F$519,"buy","do nothing"))</f>
        <v>sell</v>
      </c>
      <c r="H526" s="77">
        <f t="shared" ref="H526:H545" si="101">IF(G526="sell",(MAX(((C526)+SQRT((C526^2)-4*(-$G$407)*($F$518)))/(2*(-$G$407)),((C526)-SQRT((C526^2)-4*(-$G$407)*($F$518)))/(2*(-$G$407)))),(MAX(((D526)+SQRT((D526^2)-4*(-$G$408)*($F$519)))/(2*(-$G$408)),((D526)-SQRT((D526^2)-4*(-$G$408)*($F$519)))/(2*(-$G$408)),E526)))</f>
        <v>72.779164887755215</v>
      </c>
      <c r="I526" s="97">
        <f>IF(G526="sell",C526+$G$407*(H526),IF(G526="buy",D526+$G$408*(H526),F526/E526))</f>
        <v>28.854411880635858</v>
      </c>
      <c r="J526" s="77">
        <f>IF(G526="sell",C526,(I526-$G$407*H526))</f>
        <v>87.077743790840032</v>
      </c>
      <c r="K526" s="77">
        <f>IF(G526="sell",I526-$G$408*H526,D526)</f>
        <v>-0.25725407446622839</v>
      </c>
      <c r="L526" s="23">
        <f>H526*I526</f>
        <v>2100</v>
      </c>
    </row>
    <row r="527" spans="2:12" ht="17" customHeight="1" thickBot="1">
      <c r="B527" s="66">
        <f>B526+1</f>
        <v>2</v>
      </c>
      <c r="C527" s="77">
        <f t="shared" ref="C527:C545" si="102">E65</f>
        <v>76.762302290546359</v>
      </c>
      <c r="D527" s="77">
        <f t="shared" ref="D527:D545" si="103">F65</f>
        <v>19.488006863946794</v>
      </c>
      <c r="E527" s="77">
        <f t="shared" ref="E527:E545" si="104">G65</f>
        <v>47.728579522166299</v>
      </c>
      <c r="F527" s="97">
        <f t="shared" ref="F527:F545" si="105">I65</f>
        <v>1841.3418066159084</v>
      </c>
      <c r="G527" s="98" t="str">
        <f t="shared" si="100"/>
        <v>buy</v>
      </c>
      <c r="H527" s="77">
        <f t="shared" si="101"/>
        <v>48.820007680786169</v>
      </c>
      <c r="I527" s="97">
        <f>IF(G527="sell",C527+$G$407*(H527),IF(G527="buy",D527+$G$408*(H527),F527/E527))</f>
        <v>39.016009936261263</v>
      </c>
      <c r="J527" s="77">
        <f>IF(G527="sell",C527,(I527-$G$407*H527))</f>
        <v>78.072016080890194</v>
      </c>
      <c r="K527" s="77">
        <f>IF(G527="sell",I527-$G$408*H527,D527)</f>
        <v>19.488006863946794</v>
      </c>
      <c r="L527" s="23">
        <f>H527*I527</f>
        <v>1904.7619047619044</v>
      </c>
    </row>
    <row r="528" spans="2:12" ht="17" customHeight="1" thickBot="1">
      <c r="B528" s="66">
        <f t="shared" ref="B528:B534" si="106">B527+1</f>
        <v>3</v>
      </c>
      <c r="C528" s="77">
        <f t="shared" ca="1" si="102"/>
        <v>85.247464911456618</v>
      </c>
      <c r="D528" s="77">
        <f t="shared" ca="1" si="103"/>
        <v>19.435698041251968</v>
      </c>
      <c r="E528" s="77">
        <f t="shared" ca="1" si="104"/>
        <v>54.843139058503866</v>
      </c>
      <c r="F528" s="97">
        <f t="shared" ca="1" si="105"/>
        <v>2269.0226510916305</v>
      </c>
      <c r="G528" s="98" t="str">
        <f t="shared" ca="1" si="100"/>
        <v>sell</v>
      </c>
      <c r="H528" s="77">
        <f t="shared" ca="1" si="101"/>
        <v>67.898925578800871</v>
      </c>
      <c r="I528" s="97">
        <f ca="1">IF(G528="sell",C528+$G$407*(H528),IF(G528="buy",D528+$G$408*(H528),F528/E528))</f>
        <v>30.928324448415921</v>
      </c>
      <c r="J528" s="77">
        <f ca="1">IF(G528="sell",C528,(I528-$G$407*H528))</f>
        <v>85.247464911456618</v>
      </c>
      <c r="K528" s="77">
        <f ca="1">IF(G528="sell",I528-$G$408*H528,D528)</f>
        <v>3.768754216895573</v>
      </c>
      <c r="L528" s="23">
        <f ca="1">H528*I528</f>
        <v>2100</v>
      </c>
    </row>
    <row r="529" spans="2:12" ht="17" customHeight="1" thickBot="1">
      <c r="B529" s="66">
        <f t="shared" si="106"/>
        <v>4</v>
      </c>
      <c r="C529" s="77">
        <f t="shared" ca="1" si="102"/>
        <v>78.023577981449748</v>
      </c>
      <c r="D529" s="77">
        <f t="shared" ca="1" si="103"/>
        <v>18.976541000177484</v>
      </c>
      <c r="E529" s="77">
        <f t="shared" ca="1" si="104"/>
        <v>49.205864151060211</v>
      </c>
      <c r="F529" s="97">
        <f t="shared" ca="1" si="105"/>
        <v>1902.2439252527947</v>
      </c>
      <c r="G529" s="98" t="str">
        <f t="shared" ca="1" si="100"/>
        <v>buy</v>
      </c>
      <c r="H529" s="77">
        <f t="shared" ca="1" si="101"/>
        <v>49.249010905970614</v>
      </c>
      <c r="I529" s="97">
        <f t="shared" ref="I529:I545" ca="1" si="107">IF(G529="sell",C529+$G$407*(H529),IF(G529="buy",D529+$G$408*(H529),F529/E529))</f>
        <v>38.676145362565734</v>
      </c>
      <c r="J529" s="77">
        <f t="shared" ref="J529:J545" ca="1" si="108">IF(G529="sell",C529,(I529-$G$407*H529))</f>
        <v>78.07535408734222</v>
      </c>
      <c r="K529" s="77">
        <f t="shared" ref="K529:K545" ca="1" si="109">IF(G529="sell",I529-$G$408*H529,D529)</f>
        <v>18.976541000177484</v>
      </c>
      <c r="L529" s="23">
        <f t="shared" ref="L529:L545" ca="1" si="110">H529*I529</f>
        <v>1904.7619047619046</v>
      </c>
    </row>
    <row r="530" spans="2:12" ht="17" customHeight="1" thickBot="1">
      <c r="B530" s="66">
        <f t="shared" si="106"/>
        <v>5</v>
      </c>
      <c r="C530" s="77">
        <f t="shared" ca="1" si="102"/>
        <v>82.971688783107354</v>
      </c>
      <c r="D530" s="77">
        <f t="shared" ca="1" si="103"/>
        <v>19.277634017361578</v>
      </c>
      <c r="E530" s="77">
        <f t="shared" ca="1" si="104"/>
        <v>53.078378971454804</v>
      </c>
      <c r="F530" s="97">
        <f t="shared" ca="1" si="105"/>
        <v>2150.1512897414773</v>
      </c>
      <c r="G530" s="98" t="str">
        <f t="shared" ca="1" si="100"/>
        <v>sell</v>
      </c>
      <c r="H530" s="77">
        <f t="shared" ca="1" si="101"/>
        <v>59.868555867836299</v>
      </c>
      <c r="I530" s="97">
        <f t="shared" ca="1" si="107"/>
        <v>35.076844088838314</v>
      </c>
      <c r="J530" s="77">
        <f t="shared" ca="1" si="108"/>
        <v>82.971688783107354</v>
      </c>
      <c r="K530" s="77">
        <f t="shared" ca="1" si="109"/>
        <v>11.129421741703794</v>
      </c>
      <c r="L530" s="23">
        <f t="shared" ca="1" si="110"/>
        <v>2100</v>
      </c>
    </row>
    <row r="531" spans="2:12" ht="17" customHeight="1" thickBot="1">
      <c r="B531" s="66">
        <f t="shared" si="106"/>
        <v>6</v>
      </c>
      <c r="C531" s="77">
        <f t="shared" ca="1" si="102"/>
        <v>86.263631844929265</v>
      </c>
      <c r="D531" s="77">
        <f t="shared" ca="1" si="103"/>
        <v>18.854144179078926</v>
      </c>
      <c r="E531" s="77">
        <f t="shared" ca="1" si="104"/>
        <v>56.174573054875268</v>
      </c>
      <c r="F531" s="97">
        <f t="shared" ca="1" si="105"/>
        <v>2321.3565627338289</v>
      </c>
      <c r="G531" s="98" t="str">
        <f t="shared" ca="1" si="100"/>
        <v>sell</v>
      </c>
      <c r="H531" s="77">
        <f t="shared" ca="1" si="101"/>
        <v>70.701741449555342</v>
      </c>
      <c r="I531" s="97">
        <f t="shared" ca="1" si="107"/>
        <v>29.702238685284989</v>
      </c>
      <c r="J531" s="77">
        <f t="shared" ca="1" si="108"/>
        <v>86.263631844929265</v>
      </c>
      <c r="K531" s="77">
        <f t="shared" ca="1" si="109"/>
        <v>1.4215421054628514</v>
      </c>
      <c r="L531" s="23">
        <f t="shared" ca="1" si="110"/>
        <v>2100</v>
      </c>
    </row>
    <row r="532" spans="2:12" ht="17" customHeight="1" thickBot="1">
      <c r="B532" s="66">
        <f t="shared" si="106"/>
        <v>7</v>
      </c>
      <c r="C532" s="77">
        <f t="shared" ca="1" si="102"/>
        <v>83.150978644891623</v>
      </c>
      <c r="D532" s="77">
        <f t="shared" ca="1" si="103"/>
        <v>21.345173026634939</v>
      </c>
      <c r="E532" s="77">
        <f t="shared" ca="1" si="104"/>
        <v>51.504838015213899</v>
      </c>
      <c r="F532" s="97">
        <f t="shared" ca="1" si="105"/>
        <v>2160.4790147329149</v>
      </c>
      <c r="G532" s="98" t="str">
        <f t="shared" ca="1" si="100"/>
        <v>sell</v>
      </c>
      <c r="H532" s="77">
        <f t="shared" ca="1" si="101"/>
        <v>60.676516792725955</v>
      </c>
      <c r="I532" s="97">
        <f t="shared" ca="1" si="107"/>
        <v>34.609765210710854</v>
      </c>
      <c r="J532" s="77">
        <f t="shared" ca="1" si="108"/>
        <v>83.150978644891623</v>
      </c>
      <c r="K532" s="77">
        <f t="shared" ca="1" si="109"/>
        <v>10.33915849362047</v>
      </c>
      <c r="L532" s="23">
        <f t="shared" ca="1" si="110"/>
        <v>2099.9999999999995</v>
      </c>
    </row>
    <row r="533" spans="2:12" ht="17" customHeight="1" thickBot="1">
      <c r="B533" s="66">
        <f t="shared" si="106"/>
        <v>8</v>
      </c>
      <c r="C533" s="77">
        <f t="shared" ca="1" si="102"/>
        <v>79.458247197249221</v>
      </c>
      <c r="D533" s="77">
        <f t="shared" ca="1" si="103"/>
        <v>20.355656183187712</v>
      </c>
      <c r="E533" s="77">
        <f t="shared" ca="1" si="104"/>
        <v>49.252159178384581</v>
      </c>
      <c r="F533" s="97">
        <f t="shared" ca="1" si="105"/>
        <v>1972.870092008003</v>
      </c>
      <c r="G533" s="98" t="str">
        <f t="shared" ca="1" si="100"/>
        <v>do nothing</v>
      </c>
      <c r="H533" s="77">
        <f t="shared" ca="1" si="101"/>
        <v>49.252159178384581</v>
      </c>
      <c r="I533" s="97">
        <f t="shared" ca="1" si="107"/>
        <v>40.056519854541556</v>
      </c>
      <c r="J533" s="77">
        <f t="shared" ca="1" si="108"/>
        <v>79.458247197249221</v>
      </c>
      <c r="K533" s="77">
        <f t="shared" ca="1" si="109"/>
        <v>20.355656183187712</v>
      </c>
      <c r="L533" s="23">
        <f t="shared" ca="1" si="110"/>
        <v>1972.870092008003</v>
      </c>
    </row>
    <row r="534" spans="2:12" ht="17" customHeight="1" thickBot="1">
      <c r="B534" s="66">
        <f t="shared" si="106"/>
        <v>9</v>
      </c>
      <c r="C534" s="77">
        <f t="shared" ca="1" si="102"/>
        <v>75.841995116206505</v>
      </c>
      <c r="D534" s="77">
        <f t="shared" ca="1" si="103"/>
        <v>18.592175740871255</v>
      </c>
      <c r="E534" s="77">
        <f t="shared" ca="1" si="104"/>
        <v>47.70818281277937</v>
      </c>
      <c r="F534" s="97">
        <f t="shared" ca="1" si="105"/>
        <v>1797.4272020518385</v>
      </c>
      <c r="G534" s="98" t="str">
        <f t="shared" ca="1" si="100"/>
        <v>buy</v>
      </c>
      <c r="H534" s="77">
        <f t="shared" ca="1" si="101"/>
        <v>49.574700309430646</v>
      </c>
      <c r="I534" s="97">
        <f t="shared" ca="1" si="107"/>
        <v>38.422055864643511</v>
      </c>
      <c r="J534" s="77">
        <f t="shared" ca="1" si="108"/>
        <v>78.081816112188022</v>
      </c>
      <c r="K534" s="77">
        <f t="shared" ca="1" si="109"/>
        <v>18.592175740871255</v>
      </c>
      <c r="L534" s="23">
        <f t="shared" ca="1" si="110"/>
        <v>1904.7619047619041</v>
      </c>
    </row>
    <row r="535" spans="2:12" ht="17" customHeight="1" thickBot="1">
      <c r="B535" s="66">
        <v>10</v>
      </c>
      <c r="C535" s="77">
        <f t="shared" ca="1" si="102"/>
        <v>83.033106038744506</v>
      </c>
      <c r="D535" s="77">
        <f t="shared" ca="1" si="103"/>
        <v>19.684114094970305</v>
      </c>
      <c r="E535" s="77">
        <f t="shared" ca="1" si="104"/>
        <v>52.790826619811824</v>
      </c>
      <c r="F535" s="97">
        <f t="shared" ca="1" si="105"/>
        <v>2153.8892044333852</v>
      </c>
      <c r="G535" s="98" t="str">
        <f t="shared" ca="1" si="100"/>
        <v>sell</v>
      </c>
      <c r="H535" s="77">
        <f t="shared" ca="1" si="101"/>
        <v>60.151766178712478</v>
      </c>
      <c r="I535" s="97">
        <f t="shared" ca="1" si="107"/>
        <v>34.911693095774524</v>
      </c>
      <c r="J535" s="77">
        <f t="shared" ca="1" si="108"/>
        <v>83.033106038744506</v>
      </c>
      <c r="K535" s="77">
        <f t="shared" ca="1" si="109"/>
        <v>10.850986624289533</v>
      </c>
      <c r="L535" s="23">
        <f t="shared" ca="1" si="110"/>
        <v>2100</v>
      </c>
    </row>
    <row r="536" spans="2:12" ht="17" customHeight="1" thickBot="1">
      <c r="B536" s="66">
        <v>11</v>
      </c>
      <c r="C536" s="77">
        <f t="shared" ca="1" si="102"/>
        <v>83.783157055483642</v>
      </c>
      <c r="D536" s="77">
        <f t="shared" ca="1" si="103"/>
        <v>21.377670545824579</v>
      </c>
      <c r="E536" s="77">
        <f t="shared" ca="1" si="104"/>
        <v>52.004572091382542</v>
      </c>
      <c r="F536" s="97">
        <f t="shared" ca="1" si="105"/>
        <v>2193.5268164092818</v>
      </c>
      <c r="G536" s="98" t="str">
        <f t="shared" ca="1" si="100"/>
        <v>sell</v>
      </c>
      <c r="H536" s="77">
        <f t="shared" ca="1" si="101"/>
        <v>63.182885672174741</v>
      </c>
      <c r="I536" s="97">
        <f t="shared" ca="1" si="107"/>
        <v>33.236848517743844</v>
      </c>
      <c r="J536" s="77">
        <f t="shared" ca="1" si="108"/>
        <v>83.783157055483642</v>
      </c>
      <c r="K536" s="77">
        <f t="shared" ca="1" si="109"/>
        <v>7.9636942488739457</v>
      </c>
      <c r="L536" s="23">
        <f t="shared" ca="1" si="110"/>
        <v>2100</v>
      </c>
    </row>
    <row r="537" spans="2:12" ht="17" customHeight="1" thickBot="1">
      <c r="B537" s="66">
        <v>12</v>
      </c>
      <c r="C537" s="77">
        <f t="shared" ca="1" si="102"/>
        <v>74.93563730199898</v>
      </c>
      <c r="D537" s="77">
        <f t="shared" ca="1" si="103"/>
        <v>18.744170469770506</v>
      </c>
      <c r="E537" s="77">
        <f t="shared" ca="1" si="104"/>
        <v>46.826222360190386</v>
      </c>
      <c r="F537" s="97">
        <f t="shared" ca="1" si="105"/>
        <v>1754.7967345851862</v>
      </c>
      <c r="G537" s="98" t="str">
        <f t="shared" ca="1" si="100"/>
        <v>buy</v>
      </c>
      <c r="H537" s="77">
        <f t="shared" ca="1" si="101"/>
        <v>49.44556922225491</v>
      </c>
      <c r="I537" s="97">
        <f t="shared" ca="1" si="107"/>
        <v>38.522398158672473</v>
      </c>
      <c r="J537" s="77">
        <f t="shared" ca="1" si="108"/>
        <v>78.078853536476402</v>
      </c>
      <c r="K537" s="77">
        <f t="shared" ca="1" si="109"/>
        <v>18.744170469770506</v>
      </c>
      <c r="L537" s="23">
        <f t="shared" ca="1" si="110"/>
        <v>1904.7619047619048</v>
      </c>
    </row>
    <row r="538" spans="2:12" ht="17" customHeight="1" thickBot="1">
      <c r="B538" s="66">
        <v>13</v>
      </c>
      <c r="C538" s="77">
        <f t="shared" ca="1" si="102"/>
        <v>73.90524771826982</v>
      </c>
      <c r="D538" s="77">
        <f t="shared" ca="1" si="103"/>
        <v>19.518419712830863</v>
      </c>
      <c r="E538" s="77">
        <f t="shared" ca="1" si="104"/>
        <v>45.322356671199124</v>
      </c>
      <c r="F538" s="97">
        <f t="shared" ca="1" si="105"/>
        <v>1706.2671855756398</v>
      </c>
      <c r="G538" s="98" t="str">
        <f t="shared" ca="1" si="100"/>
        <v>buy</v>
      </c>
      <c r="H538" s="77">
        <f t="shared" ca="1" si="101"/>
        <v>48.794655104202931</v>
      </c>
      <c r="I538" s="97">
        <f t="shared" ca="1" si="107"/>
        <v>39.036281754512032</v>
      </c>
      <c r="J538" s="77">
        <f t="shared" ca="1" si="108"/>
        <v>78.072005837874372</v>
      </c>
      <c r="K538" s="77">
        <f t="shared" ca="1" si="109"/>
        <v>19.518419712830863</v>
      </c>
      <c r="L538" s="23">
        <f t="shared" ca="1" si="110"/>
        <v>1904.7619047619044</v>
      </c>
    </row>
    <row r="539" spans="2:12" ht="17" customHeight="1" thickBot="1">
      <c r="B539" s="66">
        <v>14</v>
      </c>
      <c r="C539" s="77">
        <f t="shared" ca="1" si="102"/>
        <v>72.18923950518662</v>
      </c>
      <c r="D539" s="77">
        <f t="shared" ca="1" si="103"/>
        <v>19.07556600860655</v>
      </c>
      <c r="E539" s="77">
        <f t="shared" ca="1" si="104"/>
        <v>44.261394580483383</v>
      </c>
      <c r="F539" s="97">
        <f t="shared" ca="1" si="105"/>
        <v>1627.9395740366888</v>
      </c>
      <c r="G539" s="98" t="str">
        <f t="shared" ca="1" si="100"/>
        <v>buy</v>
      </c>
      <c r="H539" s="77">
        <f t="shared" ca="1" si="101"/>
        <v>49.165561773495625</v>
      </c>
      <c r="I539" s="97">
        <f t="shared" ca="1" si="107"/>
        <v>38.7417907180048</v>
      </c>
      <c r="J539" s="77">
        <f t="shared" ca="1" si="108"/>
        <v>78.074240136801308</v>
      </c>
      <c r="K539" s="77">
        <f t="shared" ca="1" si="109"/>
        <v>19.07556600860655</v>
      </c>
      <c r="L539" s="23">
        <f t="shared" ca="1" si="110"/>
        <v>1904.7619047619044</v>
      </c>
    </row>
    <row r="540" spans="2:12" ht="17" customHeight="1" thickBot="1">
      <c r="B540" s="66">
        <v>15</v>
      </c>
      <c r="C540" s="77">
        <f t="shared" ca="1" si="102"/>
        <v>87.545686262518032</v>
      </c>
      <c r="D540" s="77">
        <f t="shared" ca="1" si="103"/>
        <v>19.826124544137834</v>
      </c>
      <c r="E540" s="77">
        <f t="shared" ca="1" si="104"/>
        <v>56.43296809865015</v>
      </c>
      <c r="F540" s="97">
        <f t="shared" ca="1" si="105"/>
        <v>2392.7190092885021</v>
      </c>
      <c r="G540" s="98" t="str">
        <f t="shared" ca="1" si="100"/>
        <v>sell</v>
      </c>
      <c r="H540" s="77">
        <f t="shared" ca="1" si="101"/>
        <v>73.921432221408068</v>
      </c>
      <c r="I540" s="97">
        <f t="shared" ca="1" si="107"/>
        <v>28.408540485391576</v>
      </c>
      <c r="J540" s="77">
        <f t="shared" ca="1" si="108"/>
        <v>87.545686262518032</v>
      </c>
      <c r="K540" s="77">
        <f t="shared" ca="1" si="109"/>
        <v>-1.1600324031716518</v>
      </c>
      <c r="L540" s="23">
        <f t="shared" ca="1" si="110"/>
        <v>2100.0000000000005</v>
      </c>
    </row>
    <row r="541" spans="2:12" ht="17" customHeight="1" thickBot="1">
      <c r="B541" s="66">
        <v>16</v>
      </c>
      <c r="C541" s="77">
        <f t="shared" ca="1" si="102"/>
        <v>81.527934488992955</v>
      </c>
      <c r="D541" s="77">
        <f t="shared" ca="1" si="103"/>
        <v>20.545032919526449</v>
      </c>
      <c r="E541" s="77">
        <f t="shared" ca="1" si="104"/>
        <v>50.819084641222084</v>
      </c>
      <c r="F541" s="97">
        <f t="shared" ca="1" si="105"/>
        <v>2077.1115124027865</v>
      </c>
      <c r="G541" s="98" t="str">
        <f t="shared" ca="1" si="100"/>
        <v>do nothing</v>
      </c>
      <c r="H541" s="77">
        <f t="shared" ca="1" si="101"/>
        <v>50.819084641222084</v>
      </c>
      <c r="I541" s="97">
        <f t="shared" ca="1" si="107"/>
        <v>40.872666776015286</v>
      </c>
      <c r="J541" s="77">
        <f t="shared" ca="1" si="108"/>
        <v>81.527934488992955</v>
      </c>
      <c r="K541" s="77">
        <f t="shared" ca="1" si="109"/>
        <v>20.545032919526449</v>
      </c>
      <c r="L541" s="23">
        <f t="shared" ca="1" si="110"/>
        <v>2077.1115124027865</v>
      </c>
    </row>
    <row r="542" spans="2:12" ht="17" customHeight="1" thickBot="1">
      <c r="B542" s="66">
        <v>17</v>
      </c>
      <c r="C542" s="77">
        <f t="shared" ca="1" si="102"/>
        <v>81.778913827758572</v>
      </c>
      <c r="D542" s="77">
        <f t="shared" ca="1" si="103"/>
        <v>18.761036695397255</v>
      </c>
      <c r="E542" s="77">
        <f t="shared" ca="1" si="104"/>
        <v>52.514897610301091</v>
      </c>
      <c r="F542" s="97">
        <f t="shared" ca="1" si="105"/>
        <v>2088.3597095300515</v>
      </c>
      <c r="G542" s="98" t="str">
        <f t="shared" ca="1" si="100"/>
        <v>do nothing</v>
      </c>
      <c r="H542" s="77">
        <f t="shared" ca="1" si="101"/>
        <v>52.514897610301091</v>
      </c>
      <c r="I542" s="97">
        <f t="shared" ca="1" si="107"/>
        <v>39.766995739517697</v>
      </c>
      <c r="J542" s="77">
        <f t="shared" ca="1" si="108"/>
        <v>81.778913827758572</v>
      </c>
      <c r="K542" s="77">
        <f t="shared" ca="1" si="109"/>
        <v>18.761036695397255</v>
      </c>
      <c r="L542" s="23">
        <f t="shared" ca="1" si="110"/>
        <v>2088.3597095300515</v>
      </c>
    </row>
    <row r="543" spans="2:12" ht="17" customHeight="1" thickBot="1">
      <c r="B543" s="66">
        <v>18</v>
      </c>
      <c r="C543" s="77">
        <f t="shared" ca="1" si="102"/>
        <v>85.9956294084391</v>
      </c>
      <c r="D543" s="77">
        <f t="shared" ca="1" si="103"/>
        <v>21.225622726028238</v>
      </c>
      <c r="E543" s="77">
        <f t="shared" ca="1" si="104"/>
        <v>53.975005568675712</v>
      </c>
      <c r="F543" s="97">
        <f t="shared" ca="1" si="105"/>
        <v>2310.9735952914139</v>
      </c>
      <c r="G543" s="98" t="str">
        <f t="shared" ca="1" si="100"/>
        <v>sell</v>
      </c>
      <c r="H543" s="77">
        <f t="shared" ca="1" si="101"/>
        <v>69.988230739114144</v>
      </c>
      <c r="I543" s="97">
        <f t="shared" ca="1" si="107"/>
        <v>30.005044817147784</v>
      </c>
      <c r="J543" s="77">
        <f t="shared" ca="1" si="108"/>
        <v>85.9956294084391</v>
      </c>
      <c r="K543" s="77">
        <f t="shared" ca="1" si="109"/>
        <v>2.0097525215021257</v>
      </c>
      <c r="L543" s="23">
        <f t="shared" ca="1" si="110"/>
        <v>2100</v>
      </c>
    </row>
    <row r="544" spans="2:12" ht="17" customHeight="1" thickBot="1">
      <c r="B544" s="66">
        <v>19</v>
      </c>
      <c r="C544" s="77">
        <f t="shared" ca="1" si="102"/>
        <v>72.208863637186283</v>
      </c>
      <c r="D544" s="77">
        <f t="shared" ca="1" si="103"/>
        <v>20.657349320710502</v>
      </c>
      <c r="E544" s="77">
        <f t="shared" ca="1" si="104"/>
        <v>42.95959526372981</v>
      </c>
      <c r="F544" s="97">
        <f t="shared" ca="1" si="105"/>
        <v>1625.642096128598</v>
      </c>
      <c r="G544" s="98" t="str">
        <f t="shared" ca="1" si="100"/>
        <v>buy</v>
      </c>
      <c r="H544" s="77">
        <f t="shared" ca="1" si="101"/>
        <v>47.85778310427105</v>
      </c>
      <c r="I544" s="97">
        <f t="shared" ca="1" si="107"/>
        <v>39.800462562418922</v>
      </c>
      <c r="J544" s="77">
        <f t="shared" ca="1" si="108"/>
        <v>78.086689045835755</v>
      </c>
      <c r="K544" s="77">
        <f t="shared" ca="1" si="109"/>
        <v>20.657349320710502</v>
      </c>
      <c r="L544" s="23">
        <f t="shared" ca="1" si="110"/>
        <v>1904.7619047619048</v>
      </c>
    </row>
    <row r="545" spans="2:12" ht="17" customHeight="1" thickBot="1">
      <c r="B545" s="66">
        <v>20</v>
      </c>
      <c r="C545" s="77">
        <f t="shared" ca="1" si="102"/>
        <v>87.98898445112637</v>
      </c>
      <c r="D545" s="77">
        <f t="shared" ca="1" si="103"/>
        <v>18.494012208361561</v>
      </c>
      <c r="E545" s="77">
        <f t="shared" ca="1" si="104"/>
        <v>57.912476868970671</v>
      </c>
      <c r="F545" s="97">
        <f t="shared" ca="1" si="105"/>
        <v>2412.5760450708253</v>
      </c>
      <c r="G545" s="98" t="str">
        <f t="shared" ca="1" si="100"/>
        <v>sell</v>
      </c>
      <c r="H545" s="77">
        <f t="shared" ca="1" si="101"/>
        <v>74.974174523502725</v>
      </c>
      <c r="I545" s="97">
        <f t="shared" ca="1" si="107"/>
        <v>28.009644832324184</v>
      </c>
      <c r="J545" s="77">
        <f t="shared" ca="1" si="108"/>
        <v>87.98898445112637</v>
      </c>
      <c r="K545" s="77">
        <f t="shared" ca="1" si="109"/>
        <v>-1.9800249770769085</v>
      </c>
      <c r="L545" s="23">
        <f t="shared" ca="1" si="110"/>
        <v>2099.9999999999995</v>
      </c>
    </row>
    <row r="546" spans="2:12" ht="17" customHeight="1" thickBot="1">
      <c r="B546" s="127" t="s">
        <v>251</v>
      </c>
      <c r="C546" s="77">
        <f ca="1">AVERAGE(C526:C545)</f>
        <v>80.984501512819079</v>
      </c>
      <c r="D546" s="77">
        <f ca="1">AVERAGE(D526:D545)</f>
        <v>19.635494937933316</v>
      </c>
      <c r="E546" s="77">
        <f ca="1">AVERAGE(E526:E545)</f>
        <v>51.124172145738129</v>
      </c>
      <c r="F546" s="97">
        <f ca="1">AVERAGE(F526:F545)</f>
        <v>2056.1104432723996</v>
      </c>
      <c r="G546" s="98"/>
      <c r="H546" s="114">
        <f ca="1">AVERAGE(H526:H545)</f>
        <v>58.48184117209528</v>
      </c>
      <c r="I546" s="97">
        <f ca="1">AVERAGE(I526:I545)</f>
        <v>35.332734139471064</v>
      </c>
      <c r="J546" s="97">
        <f ca="1">AVERAGE(J526:J545)</f>
        <v>82.118207077147275</v>
      </c>
      <c r="K546" s="97">
        <f ca="1">AVERAGE(K526:K545)</f>
        <v>11.939997670632945</v>
      </c>
      <c r="L546" s="97">
        <f ca="1">AVERAGE(L526:L545)</f>
        <v>2023.5837323637086</v>
      </c>
    </row>
    <row r="547" spans="2:12" ht="17" customHeight="1" thickBot="1">
      <c r="B547" s="127" t="s">
        <v>394</v>
      </c>
      <c r="C547" s="77">
        <f ca="1">STDEV(C526:C545)</f>
        <v>5.2235958074264941</v>
      </c>
      <c r="D547" s="77">
        <f ca="1">STDEV(D526:D545)</f>
        <v>0.96716614366599674</v>
      </c>
      <c r="E547" s="77">
        <f ca="1">STDEV(E526:E545)</f>
        <v>4.3774507912645388</v>
      </c>
      <c r="F547" s="77">
        <f ca="1">STDEV(F526:F545)</f>
        <v>260.63024151614775</v>
      </c>
      <c r="G547" s="98"/>
      <c r="H547" s="77">
        <f ca="1">STDEV(H526:H545)</f>
        <v>10.077139488753401</v>
      </c>
      <c r="I547" s="77">
        <f ca="1">STDEV(I526:I545)</f>
        <v>4.5341598288054463</v>
      </c>
      <c r="J547" s="77">
        <f ca="1">STDEV(J526:J545)</f>
        <v>3.6833804785747568</v>
      </c>
      <c r="K547" s="77">
        <f ca="1">STDEV(K526:K545)</f>
        <v>8.532154328605305</v>
      </c>
      <c r="L547" s="77">
        <f ca="1">STDEV(L526:L545)</f>
        <v>93.712289361174498</v>
      </c>
    </row>
    <row r="548" spans="2:12" ht="17" customHeight="1" thickBot="1">
      <c r="B548" s="127" t="s">
        <v>395</v>
      </c>
      <c r="C548" s="285">
        <f ca="1">C547/C546</f>
        <v>6.4501178742202278E-2</v>
      </c>
      <c r="D548" s="285">
        <f ca="1">D547/D546</f>
        <v>4.925601044043728E-2</v>
      </c>
      <c r="E548" s="285">
        <f ca="1">E547/E546</f>
        <v>8.5623895850789958E-2</v>
      </c>
      <c r="F548" s="285">
        <f ca="1">F547/F546</f>
        <v>0.12675887249584805</v>
      </c>
      <c r="G548" s="98"/>
      <c r="H548" s="285">
        <f ca="1">H547/H546</f>
        <v>0.17231228167217361</v>
      </c>
      <c r="I548" s="285">
        <f ca="1">I547/I546</f>
        <v>0.12832745439137203</v>
      </c>
      <c r="J548" s="285">
        <f ca="1">J547/J546</f>
        <v>4.485461397268873E-2</v>
      </c>
      <c r="K548" s="285">
        <f ca="1">K547/K546</f>
        <v>0.71458592907355334</v>
      </c>
      <c r="L548" s="285">
        <f ca="1">L547/L546</f>
        <v>4.6310062619307091E-2</v>
      </c>
    </row>
    <row r="549" spans="2:12" ht="17" customHeight="1">
      <c r="D549" s="190"/>
      <c r="E549" s="191"/>
      <c r="F549" s="191"/>
      <c r="G549" s="191"/>
      <c r="H549" s="191"/>
    </row>
    <row r="550" spans="2:12" ht="17" customHeight="1">
      <c r="D550" s="190"/>
      <c r="E550" s="125" t="s">
        <v>335</v>
      </c>
      <c r="F550" s="191"/>
      <c r="G550" s="191"/>
      <c r="H550" s="191"/>
      <c r="J550" s="261" t="s">
        <v>336</v>
      </c>
    </row>
    <row r="551" spans="2:12" ht="17" customHeight="1">
      <c r="D551" s="190"/>
      <c r="E551" s="191"/>
      <c r="F551" s="191"/>
      <c r="G551" s="191"/>
      <c r="H551" s="191"/>
    </row>
    <row r="552" spans="2:12" ht="1" customHeight="1">
      <c r="C552" s="127" t="s">
        <v>331</v>
      </c>
      <c r="D552" s="190" t="s">
        <v>332</v>
      </c>
      <c r="E552" s="191" t="s">
        <v>333</v>
      </c>
      <c r="F552" s="182" t="s">
        <v>334</v>
      </c>
      <c r="G552" s="191"/>
      <c r="H552" s="191"/>
    </row>
    <row r="553" spans="2:12" ht="1" customHeight="1">
      <c r="B553" s="156">
        <v>1</v>
      </c>
      <c r="C553" s="252">
        <f>$F$518</f>
        <v>2100</v>
      </c>
      <c r="D553" s="171">
        <f>$F$519</f>
        <v>1904.7619047619044</v>
      </c>
      <c r="E553" s="171">
        <f>F526</f>
        <v>2363.514838467238</v>
      </c>
      <c r="F553" s="171">
        <f>L526</f>
        <v>2100</v>
      </c>
      <c r="G553" s="191"/>
      <c r="H553" s="191"/>
    </row>
    <row r="554" spans="2:12" ht="1" customHeight="1">
      <c r="B554" s="156">
        <f>B553+1</f>
        <v>2</v>
      </c>
      <c r="C554" s="252">
        <f t="shared" ref="C554:C572" si="111">$F$518</f>
        <v>2100</v>
      </c>
      <c r="D554" s="171">
        <f t="shared" ref="D554:D572" si="112">$F$519</f>
        <v>1904.7619047619044</v>
      </c>
      <c r="E554" s="171">
        <f t="shared" ref="E554:E572" si="113">F527</f>
        <v>1841.3418066159084</v>
      </c>
      <c r="F554" s="171">
        <f t="shared" ref="F554:F572" si="114">L527</f>
        <v>1904.7619047619044</v>
      </c>
      <c r="G554" s="191"/>
      <c r="H554" s="191"/>
    </row>
    <row r="555" spans="2:12" ht="1" customHeight="1">
      <c r="B555" s="156">
        <f t="shared" ref="B555:B561" si="115">B554+1</f>
        <v>3</v>
      </c>
      <c r="C555" s="252">
        <f t="shared" si="111"/>
        <v>2100</v>
      </c>
      <c r="D555" s="171">
        <f t="shared" si="112"/>
        <v>1904.7619047619044</v>
      </c>
      <c r="E555" s="171">
        <f t="shared" ca="1" si="113"/>
        <v>2269.0226510916305</v>
      </c>
      <c r="F555" s="171">
        <f t="shared" ca="1" si="114"/>
        <v>2100</v>
      </c>
      <c r="G555" s="191"/>
      <c r="H555" s="191"/>
    </row>
    <row r="556" spans="2:12" ht="1" customHeight="1">
      <c r="B556" s="156">
        <f t="shared" si="115"/>
        <v>4</v>
      </c>
      <c r="C556" s="252">
        <f t="shared" si="111"/>
        <v>2100</v>
      </c>
      <c r="D556" s="171">
        <f t="shared" si="112"/>
        <v>1904.7619047619044</v>
      </c>
      <c r="E556" s="171">
        <f t="shared" ca="1" si="113"/>
        <v>1902.2439252527947</v>
      </c>
      <c r="F556" s="171">
        <f t="shared" ca="1" si="114"/>
        <v>1904.7619047619046</v>
      </c>
      <c r="G556" s="191"/>
      <c r="H556" s="191"/>
    </row>
    <row r="557" spans="2:12" ht="1" customHeight="1">
      <c r="B557" s="156">
        <f t="shared" si="115"/>
        <v>5</v>
      </c>
      <c r="C557" s="252">
        <f t="shared" si="111"/>
        <v>2100</v>
      </c>
      <c r="D557" s="171">
        <f t="shared" si="112"/>
        <v>1904.7619047619044</v>
      </c>
      <c r="E557" s="171">
        <f t="shared" ca="1" si="113"/>
        <v>2150.1512897414773</v>
      </c>
      <c r="F557" s="171">
        <f t="shared" ca="1" si="114"/>
        <v>2100</v>
      </c>
      <c r="G557" s="191"/>
      <c r="H557" s="191"/>
    </row>
    <row r="558" spans="2:12" ht="1" customHeight="1">
      <c r="B558" s="156">
        <f t="shared" si="115"/>
        <v>6</v>
      </c>
      <c r="C558" s="252">
        <f t="shared" si="111"/>
        <v>2100</v>
      </c>
      <c r="D558" s="171">
        <f t="shared" si="112"/>
        <v>1904.7619047619044</v>
      </c>
      <c r="E558" s="171">
        <f t="shared" ca="1" si="113"/>
        <v>2321.3565627338289</v>
      </c>
      <c r="F558" s="171">
        <f t="shared" ca="1" si="114"/>
        <v>2100</v>
      </c>
      <c r="G558" s="191"/>
      <c r="H558" s="191"/>
    </row>
    <row r="559" spans="2:12" ht="1" customHeight="1">
      <c r="B559" s="156">
        <f t="shared" si="115"/>
        <v>7</v>
      </c>
      <c r="C559" s="252">
        <f t="shared" si="111"/>
        <v>2100</v>
      </c>
      <c r="D559" s="171">
        <f t="shared" si="112"/>
        <v>1904.7619047619044</v>
      </c>
      <c r="E559" s="171">
        <f t="shared" ca="1" si="113"/>
        <v>2160.4790147329149</v>
      </c>
      <c r="F559" s="171">
        <f t="shared" ca="1" si="114"/>
        <v>2099.9999999999995</v>
      </c>
      <c r="G559" s="191"/>
      <c r="H559" s="191"/>
    </row>
    <row r="560" spans="2:12" ht="1" customHeight="1">
      <c r="B560" s="156">
        <f t="shared" si="115"/>
        <v>8</v>
      </c>
      <c r="C560" s="252">
        <f t="shared" si="111"/>
        <v>2100</v>
      </c>
      <c r="D560" s="171">
        <f t="shared" si="112"/>
        <v>1904.7619047619044</v>
      </c>
      <c r="E560" s="171">
        <f t="shared" ca="1" si="113"/>
        <v>1972.870092008003</v>
      </c>
      <c r="F560" s="171">
        <f t="shared" ca="1" si="114"/>
        <v>1972.870092008003</v>
      </c>
      <c r="G560" s="191"/>
      <c r="H560" s="191"/>
    </row>
    <row r="561" spans="2:8" ht="1" customHeight="1">
      <c r="B561" s="156">
        <f t="shared" si="115"/>
        <v>9</v>
      </c>
      <c r="C561" s="252">
        <f t="shared" si="111"/>
        <v>2100</v>
      </c>
      <c r="D561" s="171">
        <f t="shared" si="112"/>
        <v>1904.7619047619044</v>
      </c>
      <c r="E561" s="171">
        <f t="shared" ca="1" si="113"/>
        <v>1797.4272020518385</v>
      </c>
      <c r="F561" s="171">
        <f t="shared" ca="1" si="114"/>
        <v>1904.7619047619041</v>
      </c>
      <c r="G561" s="191"/>
      <c r="H561" s="191"/>
    </row>
    <row r="562" spans="2:8" ht="1" customHeight="1">
      <c r="B562" s="156">
        <v>10</v>
      </c>
      <c r="C562" s="252">
        <f t="shared" si="111"/>
        <v>2100</v>
      </c>
      <c r="D562" s="171">
        <f t="shared" si="112"/>
        <v>1904.7619047619044</v>
      </c>
      <c r="E562" s="171">
        <f t="shared" ca="1" si="113"/>
        <v>2153.8892044333852</v>
      </c>
      <c r="F562" s="171">
        <f t="shared" ca="1" si="114"/>
        <v>2100</v>
      </c>
      <c r="G562" s="191"/>
      <c r="H562" s="191"/>
    </row>
    <row r="563" spans="2:8" ht="1" customHeight="1">
      <c r="B563" s="156">
        <v>11</v>
      </c>
      <c r="C563" s="252">
        <f t="shared" si="111"/>
        <v>2100</v>
      </c>
      <c r="D563" s="171">
        <f t="shared" si="112"/>
        <v>1904.7619047619044</v>
      </c>
      <c r="E563" s="171">
        <f t="shared" ca="1" si="113"/>
        <v>2193.5268164092818</v>
      </c>
      <c r="F563" s="171">
        <f t="shared" ca="1" si="114"/>
        <v>2100</v>
      </c>
      <c r="G563" s="191"/>
      <c r="H563" s="191"/>
    </row>
    <row r="564" spans="2:8" ht="1" customHeight="1">
      <c r="B564" s="156">
        <v>12</v>
      </c>
      <c r="C564" s="252">
        <f t="shared" si="111"/>
        <v>2100</v>
      </c>
      <c r="D564" s="171">
        <f t="shared" si="112"/>
        <v>1904.7619047619044</v>
      </c>
      <c r="E564" s="171">
        <f t="shared" ca="1" si="113"/>
        <v>1754.7967345851862</v>
      </c>
      <c r="F564" s="171">
        <f t="shared" ca="1" si="114"/>
        <v>1904.7619047619048</v>
      </c>
      <c r="G564" s="191"/>
      <c r="H564" s="191"/>
    </row>
    <row r="565" spans="2:8" ht="1" customHeight="1">
      <c r="B565" s="156">
        <v>13</v>
      </c>
      <c r="C565" s="252">
        <f t="shared" si="111"/>
        <v>2100</v>
      </c>
      <c r="D565" s="171">
        <f t="shared" si="112"/>
        <v>1904.7619047619044</v>
      </c>
      <c r="E565" s="171">
        <f t="shared" ca="1" si="113"/>
        <v>1706.2671855756398</v>
      </c>
      <c r="F565" s="171">
        <f t="shared" ca="1" si="114"/>
        <v>1904.7619047619044</v>
      </c>
      <c r="G565" s="191"/>
      <c r="H565" s="191"/>
    </row>
    <row r="566" spans="2:8" ht="1" customHeight="1">
      <c r="B566" s="156">
        <v>14</v>
      </c>
      <c r="C566" s="252">
        <f t="shared" si="111"/>
        <v>2100</v>
      </c>
      <c r="D566" s="171">
        <f t="shared" si="112"/>
        <v>1904.7619047619044</v>
      </c>
      <c r="E566" s="171">
        <f t="shared" ca="1" si="113"/>
        <v>1627.9395740366888</v>
      </c>
      <c r="F566" s="171">
        <f t="shared" ca="1" si="114"/>
        <v>1904.7619047619044</v>
      </c>
      <c r="G566" s="191"/>
      <c r="H566" s="191"/>
    </row>
    <row r="567" spans="2:8" ht="1" customHeight="1">
      <c r="B567" s="156">
        <v>15</v>
      </c>
      <c r="C567" s="252">
        <f t="shared" si="111"/>
        <v>2100</v>
      </c>
      <c r="D567" s="171">
        <f t="shared" si="112"/>
        <v>1904.7619047619044</v>
      </c>
      <c r="E567" s="171">
        <f t="shared" ca="1" si="113"/>
        <v>2392.7190092885021</v>
      </c>
      <c r="F567" s="171">
        <f t="shared" ca="1" si="114"/>
        <v>2100.0000000000005</v>
      </c>
      <c r="G567" s="191"/>
      <c r="H567" s="191"/>
    </row>
    <row r="568" spans="2:8" ht="1" customHeight="1">
      <c r="B568" s="156">
        <v>16</v>
      </c>
      <c r="C568" s="252">
        <f t="shared" si="111"/>
        <v>2100</v>
      </c>
      <c r="D568" s="171">
        <f t="shared" si="112"/>
        <v>1904.7619047619044</v>
      </c>
      <c r="E568" s="171">
        <f t="shared" ca="1" si="113"/>
        <v>2077.1115124027865</v>
      </c>
      <c r="F568" s="171">
        <f t="shared" ca="1" si="114"/>
        <v>2077.1115124027865</v>
      </c>
      <c r="G568" s="191"/>
      <c r="H568" s="191"/>
    </row>
    <row r="569" spans="2:8" ht="1" customHeight="1">
      <c r="B569" s="156">
        <v>17</v>
      </c>
      <c r="C569" s="252">
        <f t="shared" si="111"/>
        <v>2100</v>
      </c>
      <c r="D569" s="171">
        <f t="shared" si="112"/>
        <v>1904.7619047619044</v>
      </c>
      <c r="E569" s="171">
        <f t="shared" ca="1" si="113"/>
        <v>2088.3597095300515</v>
      </c>
      <c r="F569" s="171">
        <f t="shared" ca="1" si="114"/>
        <v>2088.3597095300515</v>
      </c>
      <c r="G569" s="191"/>
      <c r="H569" s="191"/>
    </row>
    <row r="570" spans="2:8" ht="1" customHeight="1">
      <c r="B570" s="156">
        <v>18</v>
      </c>
      <c r="C570" s="252">
        <f t="shared" si="111"/>
        <v>2100</v>
      </c>
      <c r="D570" s="171">
        <f t="shared" si="112"/>
        <v>1904.7619047619044</v>
      </c>
      <c r="E570" s="171">
        <f t="shared" ca="1" si="113"/>
        <v>2310.9735952914139</v>
      </c>
      <c r="F570" s="171">
        <f t="shared" ca="1" si="114"/>
        <v>2100</v>
      </c>
      <c r="G570" s="191"/>
      <c r="H570" s="191"/>
    </row>
    <row r="571" spans="2:8" ht="1" customHeight="1">
      <c r="B571" s="156">
        <v>19</v>
      </c>
      <c r="C571" s="252">
        <f t="shared" si="111"/>
        <v>2100</v>
      </c>
      <c r="D571" s="171">
        <f t="shared" si="112"/>
        <v>1904.7619047619044</v>
      </c>
      <c r="E571" s="171">
        <f t="shared" ca="1" si="113"/>
        <v>1625.642096128598</v>
      </c>
      <c r="F571" s="171">
        <f t="shared" ca="1" si="114"/>
        <v>1904.7619047619048</v>
      </c>
      <c r="G571" s="191"/>
      <c r="H571" s="191"/>
    </row>
    <row r="572" spans="2:8" ht="1" customHeight="1">
      <c r="B572" s="156">
        <v>20</v>
      </c>
      <c r="C572" s="252">
        <f t="shared" si="111"/>
        <v>2100</v>
      </c>
      <c r="D572" s="171">
        <f t="shared" si="112"/>
        <v>1904.7619047619044</v>
      </c>
      <c r="E572" s="171">
        <f t="shared" ca="1" si="113"/>
        <v>2412.5760450708253</v>
      </c>
      <c r="F572" s="171">
        <f t="shared" ca="1" si="114"/>
        <v>2099.9999999999995</v>
      </c>
      <c r="G572" s="191"/>
      <c r="H572" s="191"/>
    </row>
    <row r="573" spans="2:8" ht="17" customHeight="1">
      <c r="D573" s="190"/>
      <c r="E573" s="191"/>
      <c r="F573" s="191"/>
      <c r="G573" s="191"/>
      <c r="H573" s="191"/>
    </row>
    <row r="574" spans="2:8" ht="17" customHeight="1">
      <c r="D574" s="190"/>
      <c r="E574" s="191"/>
      <c r="F574" s="191"/>
      <c r="G574" s="191"/>
      <c r="H574" s="191"/>
    </row>
    <row r="575" spans="2:8" ht="17" customHeight="1">
      <c r="D575" s="190"/>
      <c r="E575" s="191"/>
      <c r="F575" s="191"/>
      <c r="G575" s="191"/>
      <c r="H575" s="191"/>
    </row>
    <row r="576" spans="2:8" ht="17" customHeight="1">
      <c r="D576" s="190"/>
      <c r="E576" s="191"/>
      <c r="F576" s="191"/>
      <c r="G576" s="191"/>
      <c r="H576" s="191"/>
    </row>
    <row r="577" spans="2:11" ht="17" customHeight="1">
      <c r="D577" s="190"/>
      <c r="E577" s="191"/>
      <c r="F577" s="191"/>
      <c r="G577" s="191"/>
      <c r="H577" s="191"/>
    </row>
    <row r="578" spans="2:11" ht="17" customHeight="1">
      <c r="D578" s="190"/>
      <c r="E578" s="191"/>
      <c r="F578" s="191"/>
      <c r="G578" s="191"/>
      <c r="H578" s="191"/>
    </row>
    <row r="579" spans="2:11" ht="17" customHeight="1">
      <c r="D579" s="190"/>
      <c r="E579" s="191"/>
      <c r="F579" s="191"/>
      <c r="G579" s="191"/>
      <c r="H579" s="191"/>
    </row>
    <row r="580" spans="2:11" ht="17" customHeight="1">
      <c r="D580" s="190"/>
      <c r="E580" s="191"/>
      <c r="F580" s="191"/>
      <c r="G580" s="191"/>
      <c r="H580" s="191"/>
    </row>
    <row r="581" spans="2:11" ht="17" customHeight="1">
      <c r="D581" s="190"/>
      <c r="E581" s="191"/>
      <c r="F581" s="191"/>
      <c r="G581" s="191"/>
      <c r="H581" s="191"/>
    </row>
    <row r="582" spans="2:11" ht="17" customHeight="1">
      <c r="D582" s="190"/>
      <c r="E582" s="191"/>
      <c r="F582" s="191"/>
      <c r="G582" s="191"/>
      <c r="H582" s="191"/>
    </row>
    <row r="583" spans="2:11" ht="17" customHeight="1">
      <c r="D583" s="190"/>
      <c r="E583" s="191"/>
      <c r="F583" s="191"/>
      <c r="G583" s="191"/>
      <c r="H583" s="191"/>
    </row>
    <row r="584" spans="2:11" ht="17" customHeight="1">
      <c r="B584" s="1" t="s">
        <v>5</v>
      </c>
      <c r="D584" s="190"/>
      <c r="E584" s="191"/>
      <c r="F584" s="191"/>
      <c r="G584" s="191"/>
      <c r="H584" s="191"/>
    </row>
    <row r="585" spans="2:11" ht="17" customHeight="1">
      <c r="B585" s="1" t="s">
        <v>6</v>
      </c>
      <c r="D585" s="190"/>
      <c r="E585" s="191"/>
      <c r="F585" s="191"/>
      <c r="G585" s="191"/>
      <c r="H585" s="191"/>
    </row>
    <row r="586" spans="2:11" ht="17" customHeight="1">
      <c r="B586" s="1" t="s">
        <v>7</v>
      </c>
      <c r="D586" s="190"/>
      <c r="E586" s="191"/>
      <c r="F586" s="191"/>
      <c r="G586" s="191"/>
      <c r="H586" s="191"/>
    </row>
    <row r="587" spans="2:11" ht="17" customHeight="1">
      <c r="D587" s="190"/>
      <c r="E587" s="191"/>
      <c r="F587" s="191"/>
      <c r="G587" s="191"/>
      <c r="H587" s="191"/>
    </row>
    <row r="588" spans="2:11" ht="17" customHeight="1" thickBot="1">
      <c r="C588" s="13"/>
      <c r="D588" s="1"/>
      <c r="E588" s="10"/>
      <c r="F588" s="1"/>
      <c r="G588" s="2" t="s">
        <v>9</v>
      </c>
    </row>
    <row r="589" spans="2:11" ht="17" customHeight="1" thickBot="1">
      <c r="C589" s="297"/>
      <c r="D589" s="139"/>
      <c r="E589" s="153"/>
      <c r="F589" s="139"/>
      <c r="G589" s="154" t="s">
        <v>14</v>
      </c>
      <c r="H589" s="139"/>
      <c r="I589" s="139"/>
      <c r="J589" s="139"/>
      <c r="K589" s="155"/>
    </row>
    <row r="590" spans="2:11" ht="17" customHeight="1" thickBot="1">
      <c r="C590" s="13"/>
      <c r="D590" s="1"/>
      <c r="E590" s="10"/>
      <c r="F590" s="342" t="s">
        <v>152</v>
      </c>
      <c r="G590" s="342" t="s">
        <v>144</v>
      </c>
      <c r="H590" s="342" t="s">
        <v>181</v>
      </c>
    </row>
    <row r="591" spans="2:11" ht="17" customHeight="1" thickBot="1">
      <c r="C591" s="13"/>
      <c r="D591" s="1"/>
      <c r="E591" s="12" t="s">
        <v>179</v>
      </c>
      <c r="F591" s="285">
        <f ca="1">$E$436</f>
        <v>8.5623895850789958E-2</v>
      </c>
      <c r="G591" s="285">
        <f ca="1">$G$322</f>
        <v>4.7248245604036808E-2</v>
      </c>
      <c r="H591" s="285">
        <f ca="1">$F$436</f>
        <v>0.12675887249584805</v>
      </c>
    </row>
    <row r="592" spans="2:11" ht="17" customHeight="1" thickBot="1">
      <c r="C592" s="13"/>
      <c r="D592" s="1"/>
      <c r="E592" s="12" t="s">
        <v>10</v>
      </c>
      <c r="F592" s="285">
        <f ca="1">$H$436</f>
        <v>0.17270855985208791</v>
      </c>
      <c r="G592" s="285">
        <f ca="1">$I$436</f>
        <v>0.17343632544624796</v>
      </c>
      <c r="H592" s="285">
        <v>0</v>
      </c>
    </row>
    <row r="593" spans="2:9" ht="17" customHeight="1" thickBot="1">
      <c r="C593" s="13"/>
      <c r="D593" s="1"/>
      <c r="E593" s="12" t="s">
        <v>11</v>
      </c>
      <c r="F593" s="285">
        <f ca="1">H548</f>
        <v>0.17231228167217361</v>
      </c>
      <c r="G593" s="285">
        <f ca="1">I548</f>
        <v>0.12832745439137203</v>
      </c>
      <c r="H593" s="285">
        <f ca="1">L548</f>
        <v>4.6310062619307091E-2</v>
      </c>
    </row>
    <row r="594" spans="2:9" ht="17" customHeight="1" thickBot="1">
      <c r="C594" s="13"/>
      <c r="D594" s="1"/>
      <c r="E594" s="12" t="s">
        <v>13</v>
      </c>
      <c r="F594" s="341">
        <f ca="1">(F592-F591)/F591</f>
        <v>1.0170602859866777</v>
      </c>
      <c r="G594" s="341">
        <f ca="1">(G592-G591)/G591</f>
        <v>2.6707463574357533</v>
      </c>
      <c r="H594" s="341">
        <f ca="1">(H592-H591)/H591</f>
        <v>-1</v>
      </c>
      <c r="I594" s="17" t="s">
        <v>16</v>
      </c>
    </row>
    <row r="595" spans="2:9" ht="17" customHeight="1" thickBot="1">
      <c r="D595" s="190"/>
      <c r="E595" s="12" t="s">
        <v>12</v>
      </c>
      <c r="F595" s="341">
        <f ca="1">(F593-F591)/F591</f>
        <v>1.0124321599714254</v>
      </c>
      <c r="G595" s="341">
        <f ca="1">(G593-G591)/G591</f>
        <v>1.7160258069012395</v>
      </c>
      <c r="H595" s="341">
        <f ca="1">(H593-H591)/H591</f>
        <v>-0.63466018821819381</v>
      </c>
      <c r="I595" s="17" t="s">
        <v>15</v>
      </c>
    </row>
    <row r="596" spans="2:9" ht="17" customHeight="1">
      <c r="D596" s="190"/>
      <c r="E596" s="191"/>
      <c r="F596" s="191"/>
      <c r="G596" s="191"/>
      <c r="H596" s="191"/>
    </row>
    <row r="597" spans="2:9" ht="17" customHeight="1">
      <c r="C597" s="1" t="s">
        <v>110</v>
      </c>
      <c r="D597" s="65"/>
      <c r="E597" s="190"/>
      <c r="F597" s="191"/>
      <c r="G597" s="191"/>
      <c r="H597" s="191"/>
      <c r="I597" s="191"/>
    </row>
    <row r="598" spans="2:9" ht="17" customHeight="1">
      <c r="C598" s="1" t="s">
        <v>111</v>
      </c>
      <c r="D598" s="65"/>
      <c r="E598" s="190"/>
      <c r="F598" s="191"/>
      <c r="G598" s="191"/>
      <c r="H598" s="191"/>
      <c r="I598" s="191"/>
    </row>
    <row r="599" spans="2:9" ht="17" customHeight="1">
      <c r="D599" s="190"/>
      <c r="E599" s="191"/>
      <c r="F599" s="191"/>
      <c r="G599" s="191"/>
      <c r="H599" s="191"/>
    </row>
    <row r="600" spans="2:9" ht="17" customHeight="1">
      <c r="B600" s="65">
        <v>6</v>
      </c>
      <c r="C600" s="288" t="s">
        <v>358</v>
      </c>
      <c r="D600" s="191"/>
      <c r="E600" s="191"/>
      <c r="F600" s="191"/>
      <c r="G600" s="191"/>
    </row>
    <row r="601" spans="2:9" ht="17" customHeight="1">
      <c r="B601" s="65"/>
      <c r="C601" s="13" t="s">
        <v>308</v>
      </c>
      <c r="D601" s="1"/>
      <c r="E601" s="10"/>
      <c r="F601" s="1"/>
    </row>
    <row r="602" spans="2:9" ht="17" customHeight="1">
      <c r="B602" s="65"/>
      <c r="C602" s="13" t="s">
        <v>309</v>
      </c>
      <c r="D602" s="1"/>
      <c r="E602" s="10"/>
      <c r="F602" s="1"/>
    </row>
    <row r="603" spans="2:9" ht="17" customHeight="1">
      <c r="B603" s="65"/>
      <c r="C603" s="13" t="s">
        <v>117</v>
      </c>
      <c r="D603" s="1"/>
      <c r="E603" s="10"/>
      <c r="F603" s="1"/>
    </row>
    <row r="604" spans="2:9" ht="17" customHeight="1">
      <c r="B604" s="65"/>
      <c r="C604" s="13" t="s">
        <v>310</v>
      </c>
      <c r="D604" s="1"/>
      <c r="E604" s="10"/>
      <c r="F604" s="1"/>
    </row>
    <row r="605" spans="2:9" ht="17" customHeight="1">
      <c r="B605" s="65"/>
      <c r="C605" s="13" t="s">
        <v>118</v>
      </c>
      <c r="D605" s="1"/>
      <c r="E605" s="10"/>
      <c r="F605" s="1"/>
    </row>
    <row r="606" spans="2:9" ht="17" customHeight="1">
      <c r="B606" s="65"/>
      <c r="C606" s="13" t="s">
        <v>119</v>
      </c>
      <c r="D606" s="1"/>
      <c r="E606" s="10"/>
      <c r="F606" s="1"/>
    </row>
    <row r="607" spans="2:9" ht="17" customHeight="1">
      <c r="B607" s="65"/>
      <c r="C607" s="13" t="s">
        <v>120</v>
      </c>
      <c r="D607" s="1"/>
      <c r="E607" s="10"/>
      <c r="F607" s="1"/>
    </row>
    <row r="608" spans="2:9" ht="17" customHeight="1">
      <c r="B608" s="65"/>
      <c r="C608" s="13" t="s">
        <v>75</v>
      </c>
      <c r="D608" s="1"/>
      <c r="E608" s="10"/>
      <c r="F608" s="1"/>
    </row>
    <row r="609" spans="2:11" ht="17" customHeight="1" thickBot="1">
      <c r="B609" s="65"/>
      <c r="C609" s="13"/>
      <c r="D609" s="1"/>
      <c r="E609" s="10"/>
      <c r="F609" s="1"/>
    </row>
    <row r="610" spans="2:11" ht="17" customHeight="1" thickBot="1">
      <c r="B610" s="65"/>
      <c r="C610" s="217"/>
      <c r="D610" s="359"/>
      <c r="E610" s="360" t="str">
        <f>E380</f>
        <v>Sample Initial Condition</v>
      </c>
      <c r="F610" s="361"/>
      <c r="G610" s="96"/>
      <c r="H610" s="219" t="str">
        <f>H380</f>
        <v>Sample Random Condition</v>
      </c>
      <c r="I610" s="96"/>
      <c r="J610" s="203"/>
    </row>
    <row r="611" spans="2:11" ht="17" customHeight="1" thickBot="1">
      <c r="B611" s="65"/>
      <c r="C611" s="362" t="str">
        <f t="shared" ref="C611:F614" si="116">C381</f>
        <v>15. Pd =</v>
      </c>
      <c r="D611" s="195">
        <f t="shared" si="116"/>
        <v>80</v>
      </c>
      <c r="E611" s="196">
        <f t="shared" si="116"/>
        <v>-0.8</v>
      </c>
      <c r="F611" s="361" t="str">
        <f t="shared" si="116"/>
        <v>Qd</v>
      </c>
      <c r="G611" s="202" t="str">
        <f>G381</f>
        <v>P'd =</v>
      </c>
      <c r="H611" s="199">
        <f>$E$64</f>
        <v>87.077743790840032</v>
      </c>
      <c r="I611" s="196">
        <f>I381</f>
        <v>-0.8</v>
      </c>
      <c r="J611" s="203" t="str">
        <f>J381</f>
        <v>Qd</v>
      </c>
    </row>
    <row r="612" spans="2:11" ht="17" customHeight="1" thickBot="1">
      <c r="B612" s="65"/>
      <c r="C612" s="362" t="str">
        <f t="shared" si="116"/>
        <v>16. Ps =</v>
      </c>
      <c r="D612" s="195">
        <f t="shared" si="116"/>
        <v>20</v>
      </c>
      <c r="E612" s="215">
        <f t="shared" si="116"/>
        <v>0.4</v>
      </c>
      <c r="F612" s="361" t="str">
        <f t="shared" si="116"/>
        <v>Qs</v>
      </c>
      <c r="G612" s="353" t="str">
        <f>G382</f>
        <v>Ps =</v>
      </c>
      <c r="H612" s="195">
        <f>$F$64</f>
        <v>18.475750459991104</v>
      </c>
      <c r="I612" s="215">
        <f>I382</f>
        <v>0.4</v>
      </c>
      <c r="J612" s="203" t="str">
        <f>J382</f>
        <v>Qs</v>
      </c>
    </row>
    <row r="613" spans="2:11" ht="17" customHeight="1" thickBot="1">
      <c r="B613" s="65"/>
      <c r="C613" s="362" t="str">
        <f t="shared" si="116"/>
        <v>17. Qe =</v>
      </c>
      <c r="D613" s="209">
        <f t="shared" si="116"/>
        <v>49.999999999999993</v>
      </c>
      <c r="E613" s="362" t="str">
        <f t="shared" si="116"/>
        <v>18. Pe =</v>
      </c>
      <c r="F613" s="213">
        <f t="shared" si="116"/>
        <v>40</v>
      </c>
      <c r="G613" s="353" t="str">
        <f>G383</f>
        <v>Qe =</v>
      </c>
      <c r="H613" s="209">
        <f>(H611-H612)/(-I611+I612)</f>
        <v>57.168327775707432</v>
      </c>
      <c r="I613" s="202" t="str">
        <f>I383</f>
        <v>Pe =</v>
      </c>
      <c r="J613" s="204">
        <f>H611+I611*H613</f>
        <v>41.34308157027408</v>
      </c>
    </row>
    <row r="614" spans="2:11" ht="17" customHeight="1" thickBot="1">
      <c r="B614" s="65"/>
      <c r="C614" s="362" t="str">
        <f t="shared" si="116"/>
        <v>19. TR =</v>
      </c>
      <c r="D614" s="363">
        <f t="shared" si="116"/>
        <v>1999.9999999999998</v>
      </c>
      <c r="E614" s="364"/>
      <c r="F614" s="365"/>
      <c r="G614" s="224" t="str">
        <f>G384</f>
        <v>TR =</v>
      </c>
      <c r="H614" s="366">
        <f>H613*J613</f>
        <v>2363.514838467238</v>
      </c>
      <c r="I614" s="202" t="str">
        <f>I384</f>
        <v>Decision:</v>
      </c>
      <c r="J614" s="210" t="str">
        <f>J384</f>
        <v>Sell</v>
      </c>
      <c r="K614" s="13" t="s">
        <v>123</v>
      </c>
    </row>
    <row r="615" spans="2:11" ht="19" customHeight="1" thickBot="1">
      <c r="B615" s="65"/>
      <c r="D615" s="15" t="str">
        <f>E391</f>
        <v>TR =</v>
      </c>
      <c r="E615" s="199">
        <f>H611</f>
        <v>87.077743790840032</v>
      </c>
      <c r="F615" s="367" t="str">
        <f>G391</f>
        <v>Q</v>
      </c>
      <c r="G615" s="368">
        <f>H391</f>
        <v>-0.8</v>
      </c>
      <c r="H615" s="369" t="s">
        <v>70</v>
      </c>
      <c r="I615" s="17" t="s">
        <v>71</v>
      </c>
    </row>
    <row r="616" spans="2:11" ht="17" customHeight="1" thickBot="1">
      <c r="B616" s="65"/>
      <c r="C616" s="13"/>
      <c r="D616" s="15" t="s">
        <v>72</v>
      </c>
      <c r="E616" s="195">
        <f>E615</f>
        <v>87.077743790840032</v>
      </c>
      <c r="F616" s="195">
        <f>2*G615</f>
        <v>-1.6</v>
      </c>
      <c r="G616" s="203" t="s">
        <v>88</v>
      </c>
      <c r="H616" s="17" t="s">
        <v>76</v>
      </c>
    </row>
    <row r="617" spans="2:11" ht="17" customHeight="1" thickBot="1">
      <c r="B617" s="65"/>
      <c r="C617" s="13"/>
      <c r="D617" s="15" t="s">
        <v>73</v>
      </c>
      <c r="E617" s="209">
        <f>E616/-F616</f>
        <v>54.42358986927502</v>
      </c>
      <c r="F617" s="17" t="s">
        <v>74</v>
      </c>
    </row>
    <row r="618" spans="2:11" ht="17" customHeight="1" thickBot="1">
      <c r="B618" s="65"/>
      <c r="C618" s="13"/>
      <c r="D618" s="202" t="s">
        <v>89</v>
      </c>
      <c r="E618" s="209">
        <f>G394</f>
        <v>75.916080052105258</v>
      </c>
      <c r="F618" s="1"/>
    </row>
    <row r="619" spans="2:11" ht="17" customHeight="1" thickBot="1">
      <c r="B619" s="65"/>
      <c r="C619" s="13"/>
      <c r="D619" s="202" t="s">
        <v>90</v>
      </c>
      <c r="E619" s="209">
        <f>G395</f>
        <v>32.931099686444774</v>
      </c>
      <c r="F619" s="1"/>
    </row>
    <row r="620" spans="2:11" ht="17" customHeight="1">
      <c r="B620" s="65"/>
      <c r="C620" s="1" t="s">
        <v>399</v>
      </c>
      <c r="D620" s="1"/>
      <c r="E620" s="10"/>
      <c r="F620" s="1"/>
      <c r="G620" s="156"/>
    </row>
    <row r="621" spans="2:11" ht="17" customHeight="1">
      <c r="B621" s="65"/>
      <c r="C621" s="1" t="s">
        <v>377</v>
      </c>
      <c r="D621" s="1"/>
      <c r="E621" s="10"/>
      <c r="F621" s="1"/>
      <c r="G621" s="156"/>
    </row>
    <row r="622" spans="2:11" ht="17" customHeight="1">
      <c r="B622" s="65"/>
      <c r="C622" s="1" t="s">
        <v>375</v>
      </c>
      <c r="D622" s="1"/>
      <c r="E622" s="10"/>
      <c r="F622" s="1"/>
      <c r="G622" s="156"/>
    </row>
    <row r="623" spans="2:11" ht="17" customHeight="1">
      <c r="B623" s="65"/>
      <c r="C623" s="1" t="s">
        <v>376</v>
      </c>
      <c r="D623" s="1"/>
      <c r="E623" s="10"/>
      <c r="F623" s="1"/>
      <c r="G623" s="156"/>
    </row>
    <row r="624" spans="2:11" ht="17" customHeight="1">
      <c r="B624" s="65"/>
      <c r="C624" s="1" t="s">
        <v>378</v>
      </c>
      <c r="D624" s="1"/>
      <c r="E624" s="10"/>
      <c r="F624" s="1"/>
      <c r="G624" s="156"/>
    </row>
    <row r="625" spans="2:7" ht="17" customHeight="1">
      <c r="B625" s="65"/>
      <c r="C625" s="1" t="s">
        <v>379</v>
      </c>
      <c r="D625" s="1"/>
      <c r="E625" s="10"/>
      <c r="F625" s="1"/>
      <c r="G625" s="156"/>
    </row>
    <row r="626" spans="2:7" ht="17" customHeight="1">
      <c r="B626" s="65"/>
      <c r="C626" s="1"/>
      <c r="D626" s="1"/>
      <c r="E626" s="10"/>
      <c r="F626" s="1"/>
      <c r="G626" s="156"/>
    </row>
    <row r="627" spans="2:7" ht="17" customHeight="1">
      <c r="B627" s="65"/>
      <c r="C627" s="1"/>
      <c r="D627" s="1"/>
      <c r="E627" s="10"/>
      <c r="F627" s="1"/>
      <c r="G627" s="156"/>
    </row>
    <row r="628" spans="2:7" ht="17" customHeight="1">
      <c r="B628" s="65"/>
      <c r="C628" s="1"/>
      <c r="D628" s="1"/>
      <c r="E628" s="10"/>
      <c r="F628" s="1"/>
      <c r="G628" s="156"/>
    </row>
    <row r="629" spans="2:7" ht="17" customHeight="1">
      <c r="B629" s="65"/>
      <c r="C629" s="1"/>
      <c r="D629" s="1"/>
      <c r="E629" s="10"/>
      <c r="F629" s="1"/>
      <c r="G629" s="156"/>
    </row>
    <row r="630" spans="2:7" ht="17" customHeight="1">
      <c r="B630" s="65"/>
      <c r="C630" s="1"/>
      <c r="D630" s="1"/>
      <c r="E630" s="10"/>
      <c r="F630" s="1"/>
      <c r="G630" s="156"/>
    </row>
    <row r="631" spans="2:7" ht="17" customHeight="1">
      <c r="B631" s="65"/>
      <c r="C631" s="1"/>
      <c r="D631" s="1"/>
      <c r="E631" s="10"/>
      <c r="F631" s="1"/>
      <c r="G631" s="156"/>
    </row>
    <row r="632" spans="2:7" ht="17" customHeight="1">
      <c r="B632" s="65"/>
      <c r="C632" s="1"/>
      <c r="D632" s="1"/>
      <c r="E632" s="10"/>
      <c r="F632" s="1"/>
      <c r="G632" s="156"/>
    </row>
    <row r="633" spans="2:7" ht="17" customHeight="1">
      <c r="B633" s="65"/>
      <c r="C633" s="1"/>
      <c r="D633" s="1"/>
      <c r="E633" s="10"/>
      <c r="F633" s="1"/>
      <c r="G633" s="156"/>
    </row>
    <row r="634" spans="2:7" ht="17" customHeight="1">
      <c r="B634" s="65"/>
      <c r="C634" s="1"/>
      <c r="D634" s="1"/>
      <c r="E634" s="10"/>
      <c r="F634" s="1"/>
      <c r="G634" s="156"/>
    </row>
    <row r="635" spans="2:7" ht="17" customHeight="1">
      <c r="B635" s="65"/>
      <c r="C635" s="1"/>
      <c r="D635" s="1"/>
      <c r="E635" s="10"/>
      <c r="F635" s="1"/>
      <c r="G635" s="156"/>
    </row>
    <row r="636" spans="2:7" ht="17" customHeight="1">
      <c r="B636" s="65"/>
      <c r="C636" s="1"/>
      <c r="D636" s="1"/>
      <c r="E636" s="10"/>
      <c r="F636" s="1"/>
      <c r="G636" s="156"/>
    </row>
    <row r="637" spans="2:7" ht="17" customHeight="1">
      <c r="B637" s="65"/>
      <c r="C637" s="1"/>
      <c r="D637" s="1"/>
      <c r="E637" s="10"/>
      <c r="F637" s="1"/>
      <c r="G637" s="156"/>
    </row>
    <row r="638" spans="2:7" ht="17" customHeight="1">
      <c r="B638" s="65"/>
      <c r="C638" s="1"/>
      <c r="D638" s="1"/>
      <c r="E638" s="10"/>
      <c r="F638" s="1"/>
      <c r="G638" s="156"/>
    </row>
    <row r="639" spans="2:7" ht="17" customHeight="1">
      <c r="B639" s="65"/>
      <c r="C639" s="1"/>
      <c r="D639" s="1"/>
      <c r="E639" s="10"/>
      <c r="F639" s="1"/>
      <c r="G639" s="156"/>
    </row>
    <row r="640" spans="2:7" ht="17" customHeight="1">
      <c r="B640" s="65"/>
      <c r="C640" s="1"/>
      <c r="D640" s="1"/>
      <c r="E640" s="10"/>
      <c r="F640" s="1"/>
      <c r="G640" s="156"/>
    </row>
    <row r="641" spans="2:16" ht="17" customHeight="1">
      <c r="B641" s="65"/>
      <c r="C641" s="1"/>
      <c r="D641" s="1"/>
      <c r="E641" s="10"/>
      <c r="F641" s="1"/>
      <c r="G641" s="156"/>
    </row>
    <row r="642" spans="2:16" ht="17" customHeight="1">
      <c r="B642" s="65"/>
      <c r="C642" s="1"/>
      <c r="D642" s="1"/>
      <c r="E642" s="10"/>
      <c r="F642" s="1"/>
      <c r="G642" s="156"/>
    </row>
    <row r="643" spans="2:16" ht="17" customHeight="1">
      <c r="B643" s="65"/>
      <c r="C643" s="1"/>
      <c r="D643" s="1"/>
      <c r="E643" s="10"/>
      <c r="F643" s="1"/>
      <c r="G643" s="156"/>
    </row>
    <row r="644" spans="2:16" ht="17" customHeight="1">
      <c r="B644" s="65"/>
      <c r="C644" s="1"/>
      <c r="D644" s="1"/>
      <c r="E644" s="10"/>
      <c r="F644" s="1"/>
      <c r="G644" s="156"/>
    </row>
    <row r="645" spans="2:16" ht="17" customHeight="1">
      <c r="B645" s="65"/>
      <c r="C645" s="1"/>
      <c r="D645" s="1"/>
      <c r="E645" s="10"/>
      <c r="F645" s="1"/>
      <c r="G645" s="156"/>
    </row>
    <row r="646" spans="2:16" ht="17" customHeight="1" thickBot="1">
      <c r="B646" s="65"/>
      <c r="C646" s="13"/>
      <c r="D646" s="1"/>
      <c r="E646" s="10"/>
      <c r="F646" s="1"/>
      <c r="G646" s="2" t="s">
        <v>77</v>
      </c>
    </row>
    <row r="647" spans="2:16" ht="17" customHeight="1" thickBot="1">
      <c r="B647" s="65"/>
      <c r="C647" s="297"/>
      <c r="D647" s="139"/>
      <c r="E647" s="153"/>
      <c r="F647" s="139"/>
      <c r="G647" s="154" t="s">
        <v>78</v>
      </c>
      <c r="H647" s="139"/>
      <c r="I647" s="139"/>
      <c r="J647" s="139"/>
      <c r="K647" s="139"/>
      <c r="L647" s="155"/>
    </row>
    <row r="648" spans="2:16" ht="17" customHeight="1" thickBot="1">
      <c r="B648" s="65"/>
      <c r="C648" s="238"/>
      <c r="D648" s="330" t="s">
        <v>418</v>
      </c>
      <c r="E648" s="202" t="s">
        <v>400</v>
      </c>
      <c r="F648" s="233">
        <f>$E$45</f>
        <v>80</v>
      </c>
      <c r="G648" s="196">
        <f>$F$45</f>
        <v>-0.8</v>
      </c>
      <c r="H648" s="203" t="s">
        <v>234</v>
      </c>
      <c r="L648" s="370"/>
    </row>
    <row r="649" spans="2:16" ht="17" customHeight="1" thickBot="1">
      <c r="B649" s="65"/>
      <c r="C649" s="281"/>
      <c r="D649" s="237"/>
      <c r="E649" s="238" t="s">
        <v>401</v>
      </c>
      <c r="F649" s="239">
        <f>$E$46</f>
        <v>20</v>
      </c>
      <c r="G649" s="214">
        <f>$F$46</f>
        <v>0.4</v>
      </c>
      <c r="H649" s="240" t="s">
        <v>235</v>
      </c>
      <c r="L649" s="371"/>
    </row>
    <row r="650" spans="2:16" ht="17" customHeight="1" thickBot="1">
      <c r="B650" s="65"/>
      <c r="C650" s="281"/>
      <c r="D650" s="237"/>
      <c r="E650" s="202" t="s">
        <v>247</v>
      </c>
      <c r="F650" s="241">
        <f>(F648-F649)/(-G648+G649)</f>
        <v>49.999999999999993</v>
      </c>
      <c r="G650" s="242" t="s">
        <v>246</v>
      </c>
      <c r="H650" s="260">
        <f>F648+G648*F650</f>
        <v>40</v>
      </c>
      <c r="I650" s="374" t="s">
        <v>248</v>
      </c>
      <c r="J650" s="204">
        <f>F650*H650</f>
        <v>1999.9999999999998</v>
      </c>
      <c r="L650" s="372"/>
    </row>
    <row r="651" spans="2:16" ht="17" customHeight="1">
      <c r="B651" s="65"/>
      <c r="C651" s="184" t="s">
        <v>250</v>
      </c>
      <c r="D651" s="185" t="s">
        <v>250</v>
      </c>
      <c r="E651" s="185" t="s">
        <v>250</v>
      </c>
      <c r="F651" s="120" t="s">
        <v>250</v>
      </c>
      <c r="G651" s="185" t="s">
        <v>237</v>
      </c>
      <c r="H651" s="185" t="s">
        <v>272</v>
      </c>
      <c r="I651" s="185" t="s">
        <v>272</v>
      </c>
      <c r="J651" s="185" t="s">
        <v>272</v>
      </c>
      <c r="K651" s="185" t="s">
        <v>272</v>
      </c>
      <c r="L651" s="185" t="s">
        <v>272</v>
      </c>
    </row>
    <row r="652" spans="2:16" ht="17" customHeight="1">
      <c r="B652" s="65"/>
      <c r="C652" s="186" t="s">
        <v>319</v>
      </c>
      <c r="D652" s="187" t="s">
        <v>83</v>
      </c>
      <c r="E652" s="187" t="s">
        <v>34</v>
      </c>
      <c r="F652" s="187" t="s">
        <v>412</v>
      </c>
      <c r="G652" s="187" t="s">
        <v>84</v>
      </c>
      <c r="H652" s="187" t="s">
        <v>34</v>
      </c>
      <c r="I652" s="187" t="s">
        <v>34</v>
      </c>
      <c r="J652" s="187" t="s">
        <v>319</v>
      </c>
      <c r="K652" s="187" t="s">
        <v>83</v>
      </c>
      <c r="L652" s="187" t="s">
        <v>412</v>
      </c>
    </row>
    <row r="653" spans="2:16" ht="17" customHeight="1" thickBot="1">
      <c r="B653" s="65"/>
      <c r="C653" s="188" t="s">
        <v>321</v>
      </c>
      <c r="D653" s="189" t="s">
        <v>321</v>
      </c>
      <c r="E653" s="189" t="s">
        <v>152</v>
      </c>
      <c r="F653" s="189" t="s">
        <v>413</v>
      </c>
      <c r="G653" s="189" t="s">
        <v>236</v>
      </c>
      <c r="H653" s="189" t="s">
        <v>152</v>
      </c>
      <c r="I653" s="189" t="s">
        <v>144</v>
      </c>
      <c r="J653" s="189" t="s">
        <v>321</v>
      </c>
      <c r="K653" s="189" t="s">
        <v>321</v>
      </c>
      <c r="L653" s="189" t="s">
        <v>413</v>
      </c>
      <c r="N653" s="17"/>
    </row>
    <row r="654" spans="2:16" ht="17" customHeight="1" thickBot="1">
      <c r="B654" s="66">
        <v>1</v>
      </c>
      <c r="C654" s="77">
        <f t="shared" ref="C654:F671" si="117">C414</f>
        <v>87.077743790840032</v>
      </c>
      <c r="D654" s="77">
        <f t="shared" si="117"/>
        <v>18.475750459991104</v>
      </c>
      <c r="E654" s="77">
        <f t="shared" si="117"/>
        <v>57.168327775707432</v>
      </c>
      <c r="F654" s="97">
        <f t="shared" si="117"/>
        <v>2363.514838467238</v>
      </c>
      <c r="G654" s="98" t="str">
        <f>IF(E654&lt;(H654),"buy","sell")</f>
        <v>sell</v>
      </c>
      <c r="H654" s="77">
        <f>(C654/(-2*$G$648))</f>
        <v>54.42358986927502</v>
      </c>
      <c r="I654" s="97">
        <f>IF(G654="buy",D654+$G$649*H654,C654+$G$648*H654)</f>
        <v>43.538871895420016</v>
      </c>
      <c r="J654" s="77">
        <f>IF(G654="buy",I654-$G$648*H654,C654)</f>
        <v>87.077743790840032</v>
      </c>
      <c r="K654" s="77">
        <f>IF(G654="buy",D654,I654-$G$649*H654)</f>
        <v>21.769435947710008</v>
      </c>
      <c r="L654" s="97">
        <f>H654*I654</f>
        <v>2369.5417074072438</v>
      </c>
      <c r="N654" s="17"/>
      <c r="P654" s="375"/>
    </row>
    <row r="655" spans="2:16" ht="17" customHeight="1" thickBot="1">
      <c r="B655" s="66">
        <f>B654+1</f>
        <v>2</v>
      </c>
      <c r="C655" s="77">
        <f t="shared" si="117"/>
        <v>76.762302290546359</v>
      </c>
      <c r="D655" s="77">
        <f t="shared" si="117"/>
        <v>19.488006863946794</v>
      </c>
      <c r="E655" s="77">
        <f t="shared" si="117"/>
        <v>47.728579522166299</v>
      </c>
      <c r="F655" s="97">
        <f t="shared" si="117"/>
        <v>1841.3418066159084</v>
      </c>
      <c r="G655" s="98" t="str">
        <f t="shared" ref="G655:G673" si="118">IF(E655&lt;(H655),"buy","sell")</f>
        <v>buy</v>
      </c>
      <c r="H655" s="77">
        <f>(C655/(-2*$G$648))</f>
        <v>47.976438931591474</v>
      </c>
      <c r="I655" s="97">
        <f t="shared" ref="I655:I673" si="119">IF(G655="buy",D655+$G$649*H655,C655+$G$648*H655)</f>
        <v>38.678582436583383</v>
      </c>
      <c r="J655" s="77">
        <f t="shared" ref="J655:J673" si="120">IF(G655="buy",I655-$G$648*H655,C655)</f>
        <v>77.059733581856563</v>
      </c>
      <c r="K655" s="77">
        <f>IF(G655="buy",D655,I655-$G$649*H655)</f>
        <v>19.488006863946794</v>
      </c>
      <c r="L655" s="97">
        <f t="shared" ref="L655:L673" si="121">H655*I655</f>
        <v>1855.6606482292693</v>
      </c>
      <c r="N655" s="17"/>
      <c r="P655" s="375"/>
    </row>
    <row r="656" spans="2:16" ht="17" customHeight="1" thickBot="1">
      <c r="B656" s="66">
        <f t="shared" ref="B656:B662" si="122">B655+1</f>
        <v>3</v>
      </c>
      <c r="C656" s="77">
        <f t="shared" ca="1" si="117"/>
        <v>85.247464911456618</v>
      </c>
      <c r="D656" s="77">
        <f t="shared" ca="1" si="117"/>
        <v>19.435698041251968</v>
      </c>
      <c r="E656" s="77">
        <f t="shared" ca="1" si="117"/>
        <v>54.843139058503866</v>
      </c>
      <c r="F656" s="97">
        <f t="shared" ca="1" si="117"/>
        <v>2269.0226510916305</v>
      </c>
      <c r="G656" s="98" t="str">
        <f t="shared" ca="1" si="118"/>
        <v>sell</v>
      </c>
      <c r="H656" s="77">
        <f t="shared" ref="H656:H673" ca="1" si="123">(C656/(-2*$G$648))</f>
        <v>53.279665569660381</v>
      </c>
      <c r="I656" s="97">
        <f t="shared" ca="1" si="119"/>
        <v>42.623732455728309</v>
      </c>
      <c r="J656" s="77">
        <f t="shared" ca="1" si="120"/>
        <v>85.247464911456618</v>
      </c>
      <c r="K656" s="77">
        <f t="shared" ref="K656:K673" ca="1" si="124">IF(G656="buy",D656,I656-$G$649*H656)</f>
        <v>21.311866227864154</v>
      </c>
      <c r="L656" s="97">
        <f t="shared" ca="1" si="121"/>
        <v>2270.9782105718832</v>
      </c>
      <c r="N656" s="17"/>
      <c r="P656" s="375"/>
    </row>
    <row r="657" spans="2:16" ht="17" customHeight="1" thickBot="1">
      <c r="B657" s="66">
        <f t="shared" si="122"/>
        <v>4</v>
      </c>
      <c r="C657" s="77">
        <f t="shared" ca="1" si="117"/>
        <v>78.023577981449748</v>
      </c>
      <c r="D657" s="77">
        <f t="shared" ca="1" si="117"/>
        <v>18.976541000177484</v>
      </c>
      <c r="E657" s="77">
        <f t="shared" ca="1" si="117"/>
        <v>49.205864151060211</v>
      </c>
      <c r="F657" s="97">
        <f t="shared" ca="1" si="117"/>
        <v>1902.2439252527947</v>
      </c>
      <c r="G657" s="98" t="str">
        <f t="shared" ca="1" si="118"/>
        <v>sell</v>
      </c>
      <c r="H657" s="77">
        <f t="shared" ca="1" si="123"/>
        <v>48.764736238406087</v>
      </c>
      <c r="I657" s="97">
        <f t="shared" ca="1" si="119"/>
        <v>39.011788990724874</v>
      </c>
      <c r="J657" s="77">
        <f t="shared" ca="1" si="120"/>
        <v>78.023577981449748</v>
      </c>
      <c r="K657" s="77">
        <f t="shared" ca="1" si="124"/>
        <v>19.505894495362437</v>
      </c>
      <c r="L657" s="97">
        <f t="shared" ca="1" si="121"/>
        <v>1902.399600321053</v>
      </c>
      <c r="N657" s="17"/>
      <c r="P657" s="375"/>
    </row>
    <row r="658" spans="2:16" ht="17" customHeight="1" thickBot="1">
      <c r="B658" s="66">
        <f t="shared" si="122"/>
        <v>5</v>
      </c>
      <c r="C658" s="77">
        <f t="shared" ca="1" si="117"/>
        <v>82.971688783107354</v>
      </c>
      <c r="D658" s="77">
        <f t="shared" ca="1" si="117"/>
        <v>19.277634017361578</v>
      </c>
      <c r="E658" s="77">
        <f t="shared" ca="1" si="117"/>
        <v>53.078378971454804</v>
      </c>
      <c r="F658" s="97">
        <f t="shared" ca="1" si="117"/>
        <v>2150.1512897414773</v>
      </c>
      <c r="G658" s="98" t="str">
        <f t="shared" ca="1" si="118"/>
        <v>sell</v>
      </c>
      <c r="H658" s="77">
        <f t="shared" ca="1" si="123"/>
        <v>51.857305489442091</v>
      </c>
      <c r="I658" s="97">
        <f t="shared" ca="1" si="119"/>
        <v>41.485844391553677</v>
      </c>
      <c r="J658" s="77">
        <f t="shared" ca="1" si="120"/>
        <v>82.971688783107354</v>
      </c>
      <c r="K658" s="77">
        <f t="shared" ca="1" si="124"/>
        <v>20.742922195776838</v>
      </c>
      <c r="L658" s="97">
        <f t="shared" ca="1" si="121"/>
        <v>2151.3441061002568</v>
      </c>
      <c r="N658" s="17"/>
      <c r="P658" s="375"/>
    </row>
    <row r="659" spans="2:16" ht="17" customHeight="1" thickBot="1">
      <c r="B659" s="66">
        <f t="shared" si="122"/>
        <v>6</v>
      </c>
      <c r="C659" s="77">
        <f t="shared" ca="1" si="117"/>
        <v>86.263631844929265</v>
      </c>
      <c r="D659" s="77">
        <f t="shared" ca="1" si="117"/>
        <v>18.854144179078926</v>
      </c>
      <c r="E659" s="77">
        <f t="shared" ca="1" si="117"/>
        <v>56.174573054875268</v>
      </c>
      <c r="F659" s="97">
        <f t="shared" ca="1" si="117"/>
        <v>2321.3565627338289</v>
      </c>
      <c r="G659" s="98" t="str">
        <f t="shared" ca="1" si="118"/>
        <v>sell</v>
      </c>
      <c r="H659" s="77">
        <f t="shared" ca="1" si="123"/>
        <v>53.914769903080789</v>
      </c>
      <c r="I659" s="97">
        <f t="shared" ca="1" si="119"/>
        <v>43.131815922464632</v>
      </c>
      <c r="J659" s="77">
        <f t="shared" ca="1" si="120"/>
        <v>86.263631844929265</v>
      </c>
      <c r="K659" s="77">
        <f t="shared" ca="1" si="124"/>
        <v>21.565907961232316</v>
      </c>
      <c r="L659" s="97">
        <f t="shared" ca="1" si="121"/>
        <v>2325.4419309617169</v>
      </c>
      <c r="N659" s="17"/>
      <c r="P659" s="375"/>
    </row>
    <row r="660" spans="2:16" ht="17" customHeight="1" thickBot="1">
      <c r="B660" s="66">
        <f t="shared" si="122"/>
        <v>7</v>
      </c>
      <c r="C660" s="77">
        <f t="shared" ca="1" si="117"/>
        <v>83.150978644891623</v>
      </c>
      <c r="D660" s="77">
        <f t="shared" ca="1" si="117"/>
        <v>21.345173026634939</v>
      </c>
      <c r="E660" s="77">
        <f t="shared" ca="1" si="117"/>
        <v>51.504838015213899</v>
      </c>
      <c r="F660" s="97">
        <f t="shared" ca="1" si="117"/>
        <v>2160.4790147329149</v>
      </c>
      <c r="G660" s="98" t="str">
        <f t="shared" ca="1" si="118"/>
        <v>buy</v>
      </c>
      <c r="H660" s="77">
        <f t="shared" ca="1" si="123"/>
        <v>51.969361653057263</v>
      </c>
      <c r="I660" s="97">
        <f t="shared" ca="1" si="119"/>
        <v>42.132917687857841</v>
      </c>
      <c r="J660" s="77">
        <f t="shared" ca="1" si="120"/>
        <v>83.708407010303659</v>
      </c>
      <c r="K660" s="77">
        <f t="shared" ca="1" si="124"/>
        <v>21.345173026634939</v>
      </c>
      <c r="L660" s="97">
        <f t="shared" ca="1" si="121"/>
        <v>2189.6208368187772</v>
      </c>
      <c r="N660" s="17"/>
      <c r="P660" s="375"/>
    </row>
    <row r="661" spans="2:16" ht="17" customHeight="1" thickBot="1">
      <c r="B661" s="66">
        <f t="shared" si="122"/>
        <v>8</v>
      </c>
      <c r="C661" s="77">
        <f t="shared" ca="1" si="117"/>
        <v>79.458247197249221</v>
      </c>
      <c r="D661" s="77">
        <f t="shared" ca="1" si="117"/>
        <v>20.355656183187712</v>
      </c>
      <c r="E661" s="77">
        <f t="shared" ca="1" si="117"/>
        <v>49.252159178384581</v>
      </c>
      <c r="F661" s="97">
        <f t="shared" ca="1" si="117"/>
        <v>1972.870092008003</v>
      </c>
      <c r="G661" s="98" t="str">
        <f t="shared" ca="1" si="118"/>
        <v>buy</v>
      </c>
      <c r="H661" s="77">
        <f t="shared" ca="1" si="123"/>
        <v>49.66140449828076</v>
      </c>
      <c r="I661" s="97">
        <f t="shared" ca="1" si="119"/>
        <v>40.220217982500017</v>
      </c>
      <c r="J661" s="77">
        <f t="shared" ca="1" si="120"/>
        <v>79.949341581124628</v>
      </c>
      <c r="K661" s="77">
        <f t="shared" ca="1" si="124"/>
        <v>20.355656183187712</v>
      </c>
      <c r="L661" s="97">
        <f t="shared" ca="1" si="121"/>
        <v>1997.3925142379592</v>
      </c>
      <c r="N661" s="17"/>
      <c r="P661" s="375"/>
    </row>
    <row r="662" spans="2:16" ht="17" customHeight="1" thickBot="1">
      <c r="B662" s="66">
        <f t="shared" si="122"/>
        <v>9</v>
      </c>
      <c r="C662" s="77">
        <f t="shared" ca="1" si="117"/>
        <v>75.841995116206505</v>
      </c>
      <c r="D662" s="77">
        <f t="shared" ca="1" si="117"/>
        <v>18.592175740871255</v>
      </c>
      <c r="E662" s="77">
        <f t="shared" ca="1" si="117"/>
        <v>47.70818281277937</v>
      </c>
      <c r="F662" s="97">
        <f t="shared" ca="1" si="117"/>
        <v>1797.4272020518385</v>
      </c>
      <c r="G662" s="98" t="str">
        <f t="shared" ca="1" si="118"/>
        <v>sell</v>
      </c>
      <c r="H662" s="77">
        <f t="shared" ca="1" si="123"/>
        <v>47.401246947629062</v>
      </c>
      <c r="I662" s="97">
        <f t="shared" ca="1" si="119"/>
        <v>37.920997558103252</v>
      </c>
      <c r="J662" s="77">
        <f t="shared" ca="1" si="120"/>
        <v>75.841995116206505</v>
      </c>
      <c r="K662" s="77">
        <f t="shared" ca="1" si="124"/>
        <v>18.960498779051626</v>
      </c>
      <c r="L662" s="97">
        <f t="shared" ca="1" si="121"/>
        <v>1797.5025697520909</v>
      </c>
      <c r="N662" s="17"/>
      <c r="P662" s="375"/>
    </row>
    <row r="663" spans="2:16" ht="17" customHeight="1" thickBot="1">
      <c r="B663" s="66">
        <v>10</v>
      </c>
      <c r="C663" s="77">
        <f t="shared" ca="1" si="117"/>
        <v>83.033106038744506</v>
      </c>
      <c r="D663" s="77">
        <f t="shared" ca="1" si="117"/>
        <v>19.684114094970305</v>
      </c>
      <c r="E663" s="77">
        <f t="shared" ca="1" si="117"/>
        <v>52.790826619811824</v>
      </c>
      <c r="F663" s="97">
        <f t="shared" ca="1" si="117"/>
        <v>2153.8892044333852</v>
      </c>
      <c r="G663" s="98" t="str">
        <f t="shared" ca="1" si="118"/>
        <v>sell</v>
      </c>
      <c r="H663" s="77">
        <f t="shared" ca="1" si="123"/>
        <v>51.895691274215316</v>
      </c>
      <c r="I663" s="97">
        <f t="shared" ca="1" si="119"/>
        <v>41.516553019372253</v>
      </c>
      <c r="J663" s="77">
        <f t="shared" ca="1" si="120"/>
        <v>83.033106038744506</v>
      </c>
      <c r="K663" s="77">
        <f t="shared" ca="1" si="124"/>
        <v>20.758276509686127</v>
      </c>
      <c r="L663" s="97">
        <f t="shared" ca="1" si="121"/>
        <v>2154.5302182629343</v>
      </c>
      <c r="N663" s="17"/>
      <c r="P663" s="375"/>
    </row>
    <row r="664" spans="2:16" ht="17" customHeight="1" thickBot="1">
      <c r="B664" s="66">
        <v>11</v>
      </c>
      <c r="C664" s="77">
        <f t="shared" ca="1" si="117"/>
        <v>83.783157055483642</v>
      </c>
      <c r="D664" s="77">
        <f t="shared" ca="1" si="117"/>
        <v>21.377670545824579</v>
      </c>
      <c r="E664" s="77">
        <f t="shared" ca="1" si="117"/>
        <v>52.004572091382542</v>
      </c>
      <c r="F664" s="97">
        <f t="shared" ca="1" si="117"/>
        <v>2193.5268164092818</v>
      </c>
      <c r="G664" s="98" t="str">
        <f t="shared" ca="1" si="118"/>
        <v>buy</v>
      </c>
      <c r="H664" s="77">
        <f t="shared" ca="1" si="123"/>
        <v>52.364473159677274</v>
      </c>
      <c r="I664" s="97">
        <f t="shared" ca="1" si="119"/>
        <v>42.323459809695493</v>
      </c>
      <c r="J664" s="77">
        <f t="shared" ca="1" si="120"/>
        <v>84.215038337437306</v>
      </c>
      <c r="K664" s="77">
        <f t="shared" ca="1" si="124"/>
        <v>21.377670545824579</v>
      </c>
      <c r="L664" s="97">
        <f t="shared" ca="1" si="121"/>
        <v>2216.2456752294793</v>
      </c>
      <c r="N664" s="17"/>
      <c r="P664" s="375"/>
    </row>
    <row r="665" spans="2:16" ht="17" customHeight="1" thickBot="1">
      <c r="B665" s="66">
        <v>12</v>
      </c>
      <c r="C665" s="77">
        <f t="shared" ca="1" si="117"/>
        <v>74.93563730199898</v>
      </c>
      <c r="D665" s="77">
        <f t="shared" ca="1" si="117"/>
        <v>18.744170469770506</v>
      </c>
      <c r="E665" s="77">
        <f t="shared" ca="1" si="117"/>
        <v>46.826222360190386</v>
      </c>
      <c r="F665" s="97">
        <f t="shared" ca="1" si="117"/>
        <v>1754.7967345851862</v>
      </c>
      <c r="G665" s="98" t="str">
        <f t="shared" ca="1" si="118"/>
        <v>buy</v>
      </c>
      <c r="H665" s="77">
        <f t="shared" ca="1" si="123"/>
        <v>46.834773313749359</v>
      </c>
      <c r="I665" s="97">
        <f t="shared" ca="1" si="119"/>
        <v>37.478079795270247</v>
      </c>
      <c r="J665" s="77">
        <f t="shared" ca="1" si="120"/>
        <v>74.945898446269737</v>
      </c>
      <c r="K665" s="77">
        <f t="shared" ca="1" si="124"/>
        <v>18.744170469770506</v>
      </c>
      <c r="L665" s="97">
        <f t="shared" ca="1" si="121"/>
        <v>1755.277371446092</v>
      </c>
      <c r="N665" s="17"/>
    </row>
    <row r="666" spans="2:16" ht="17" customHeight="1" thickBot="1">
      <c r="B666" s="66">
        <v>13</v>
      </c>
      <c r="C666" s="77">
        <f t="shared" ca="1" si="117"/>
        <v>73.90524771826982</v>
      </c>
      <c r="D666" s="77">
        <f t="shared" ca="1" si="117"/>
        <v>19.518419712830863</v>
      </c>
      <c r="E666" s="77">
        <f t="shared" ca="1" si="117"/>
        <v>45.322356671199124</v>
      </c>
      <c r="F666" s="97">
        <f t="shared" ca="1" si="117"/>
        <v>1706.2671855756398</v>
      </c>
      <c r="G666" s="98" t="str">
        <f t="shared" ca="1" si="118"/>
        <v>buy</v>
      </c>
      <c r="H666" s="77">
        <f t="shared" ca="1" si="123"/>
        <v>46.190779823918632</v>
      </c>
      <c r="I666" s="97">
        <f t="shared" ca="1" si="119"/>
        <v>37.994731642398321</v>
      </c>
      <c r="J666" s="77">
        <f t="shared" ca="1" si="120"/>
        <v>74.947355501533224</v>
      </c>
      <c r="K666" s="77">
        <f t="shared" ca="1" si="124"/>
        <v>19.518419712830863</v>
      </c>
      <c r="L666" s="97">
        <f t="shared" ca="1" si="121"/>
        <v>1755.0062837628952</v>
      </c>
      <c r="N666" s="17"/>
    </row>
    <row r="667" spans="2:16" ht="17" customHeight="1" thickBot="1">
      <c r="B667" s="66">
        <v>14</v>
      </c>
      <c r="C667" s="77">
        <f t="shared" ca="1" si="117"/>
        <v>72.18923950518662</v>
      </c>
      <c r="D667" s="77">
        <f t="shared" ca="1" si="117"/>
        <v>19.07556600860655</v>
      </c>
      <c r="E667" s="77">
        <f t="shared" ca="1" si="117"/>
        <v>44.261394580483383</v>
      </c>
      <c r="F667" s="97">
        <f t="shared" ca="1" si="117"/>
        <v>1627.9395740366888</v>
      </c>
      <c r="G667" s="98" t="str">
        <f t="shared" ca="1" si="118"/>
        <v>buy</v>
      </c>
      <c r="H667" s="77">
        <f t="shared" ca="1" si="123"/>
        <v>45.118274690741636</v>
      </c>
      <c r="I667" s="97">
        <f t="shared" ca="1" si="119"/>
        <v>37.122875884903209</v>
      </c>
      <c r="J667" s="77">
        <f t="shared" ca="1" si="120"/>
        <v>73.217495637496512</v>
      </c>
      <c r="K667" s="77">
        <f t="shared" ca="1" si="124"/>
        <v>19.07556600860655</v>
      </c>
      <c r="L667" s="97">
        <f t="shared" ca="1" si="121"/>
        <v>1674.9201114853715</v>
      </c>
      <c r="N667" s="17"/>
    </row>
    <row r="668" spans="2:16" ht="17" customHeight="1" thickBot="1">
      <c r="B668" s="66">
        <v>15</v>
      </c>
      <c r="C668" s="77">
        <f t="shared" ca="1" si="117"/>
        <v>87.545686262518032</v>
      </c>
      <c r="D668" s="77">
        <f t="shared" ca="1" si="117"/>
        <v>19.826124544137834</v>
      </c>
      <c r="E668" s="77">
        <f t="shared" ca="1" si="117"/>
        <v>56.43296809865015</v>
      </c>
      <c r="F668" s="97">
        <f t="shared" ca="1" si="117"/>
        <v>2392.7190092885021</v>
      </c>
      <c r="G668" s="98" t="str">
        <f t="shared" ca="1" si="118"/>
        <v>sell</v>
      </c>
      <c r="H668" s="77">
        <f t="shared" ca="1" si="123"/>
        <v>54.716053914073768</v>
      </c>
      <c r="I668" s="97">
        <f t="shared" ca="1" si="119"/>
        <v>43.772843131259016</v>
      </c>
      <c r="J668" s="77">
        <f t="shared" ca="1" si="120"/>
        <v>87.545686262518032</v>
      </c>
      <c r="K668" s="77">
        <f t="shared" ca="1" si="124"/>
        <v>21.886421565629508</v>
      </c>
      <c r="L668" s="97">
        <f t="shared" ca="1" si="121"/>
        <v>2395.0772447422619</v>
      </c>
      <c r="N668" s="17"/>
    </row>
    <row r="669" spans="2:16" ht="17" customHeight="1" thickBot="1">
      <c r="B669" s="66">
        <v>16</v>
      </c>
      <c r="C669" s="77">
        <f t="shared" ca="1" si="117"/>
        <v>81.527934488992955</v>
      </c>
      <c r="D669" s="77">
        <f t="shared" ca="1" si="117"/>
        <v>20.545032919526449</v>
      </c>
      <c r="E669" s="77">
        <f t="shared" ca="1" si="117"/>
        <v>50.819084641222084</v>
      </c>
      <c r="F669" s="97">
        <f t="shared" ca="1" si="117"/>
        <v>2077.1115124027865</v>
      </c>
      <c r="G669" s="98" t="str">
        <f t="shared" ca="1" si="118"/>
        <v>buy</v>
      </c>
      <c r="H669" s="77">
        <f t="shared" ca="1" si="123"/>
        <v>50.954959055620591</v>
      </c>
      <c r="I669" s="97">
        <f t="shared" ca="1" si="119"/>
        <v>40.927016541774691</v>
      </c>
      <c r="J669" s="77">
        <f t="shared" ca="1" si="120"/>
        <v>81.690983786271175</v>
      </c>
      <c r="K669" s="77">
        <f t="shared" ca="1" si="124"/>
        <v>20.545032919526449</v>
      </c>
      <c r="L669" s="97">
        <f t="shared" ca="1" si="121"/>
        <v>2085.434452154836</v>
      </c>
      <c r="N669" s="17"/>
    </row>
    <row r="670" spans="2:16" ht="17" customHeight="1" thickBot="1">
      <c r="B670" s="66">
        <v>17</v>
      </c>
      <c r="C670" s="77">
        <f t="shared" ca="1" si="117"/>
        <v>81.778913827758572</v>
      </c>
      <c r="D670" s="77">
        <f t="shared" ca="1" si="117"/>
        <v>18.761036695397255</v>
      </c>
      <c r="E670" s="77">
        <f t="shared" ca="1" si="117"/>
        <v>52.514897610301091</v>
      </c>
      <c r="F670" s="97">
        <f t="shared" ca="1" si="117"/>
        <v>2088.3597095300515</v>
      </c>
      <c r="G670" s="98" t="str">
        <f t="shared" ca="1" si="118"/>
        <v>sell</v>
      </c>
      <c r="H670" s="77">
        <f t="shared" ca="1" si="123"/>
        <v>51.111821142349108</v>
      </c>
      <c r="I670" s="97">
        <f t="shared" ca="1" si="119"/>
        <v>40.889456913879286</v>
      </c>
      <c r="J670" s="77">
        <f t="shared" ca="1" si="120"/>
        <v>81.778913827758572</v>
      </c>
      <c r="K670" s="77">
        <f t="shared" ca="1" si="124"/>
        <v>20.444728456939643</v>
      </c>
      <c r="L670" s="97">
        <f t="shared" ca="1" si="121"/>
        <v>2089.9346083899882</v>
      </c>
      <c r="N670" s="17"/>
    </row>
    <row r="671" spans="2:16" ht="17" customHeight="1" thickBot="1">
      <c r="B671" s="66">
        <v>18</v>
      </c>
      <c r="C671" s="77">
        <f t="shared" ca="1" si="117"/>
        <v>85.9956294084391</v>
      </c>
      <c r="D671" s="77">
        <f t="shared" ca="1" si="117"/>
        <v>21.225622726028238</v>
      </c>
      <c r="E671" s="77">
        <f t="shared" ca="1" si="117"/>
        <v>53.975005568675712</v>
      </c>
      <c r="F671" s="97">
        <f t="shared" ca="1" si="117"/>
        <v>2310.9735952914139</v>
      </c>
      <c r="G671" s="98" t="str">
        <f t="shared" ca="1" si="118"/>
        <v>sell</v>
      </c>
      <c r="H671" s="77">
        <f t="shared" ca="1" si="123"/>
        <v>53.747268380274434</v>
      </c>
      <c r="I671" s="97">
        <f t="shared" ca="1" si="119"/>
        <v>42.99781470421955</v>
      </c>
      <c r="J671" s="77">
        <f t="shared" ca="1" si="120"/>
        <v>85.9956294084391</v>
      </c>
      <c r="K671" s="77">
        <f t="shared" ca="1" si="124"/>
        <v>21.498907352109775</v>
      </c>
      <c r="L671" s="97">
        <f t="shared" ca="1" si="121"/>
        <v>2311.0150866729987</v>
      </c>
      <c r="N671" s="17"/>
    </row>
    <row r="672" spans="2:16" ht="17" customHeight="1" thickBot="1">
      <c r="B672" s="66">
        <v>19</v>
      </c>
      <c r="C672" s="77">
        <f t="shared" ref="C672:F673" ca="1" si="125">C432</f>
        <v>72.208863637186283</v>
      </c>
      <c r="D672" s="77">
        <f t="shared" ca="1" si="125"/>
        <v>20.657349320710502</v>
      </c>
      <c r="E672" s="77">
        <f t="shared" ca="1" si="125"/>
        <v>42.95959526372981</v>
      </c>
      <c r="F672" s="97">
        <f t="shared" ca="1" si="125"/>
        <v>1625.642096128598</v>
      </c>
      <c r="G672" s="98" t="str">
        <f t="shared" ca="1" si="118"/>
        <v>buy</v>
      </c>
      <c r="H672" s="77">
        <f t="shared" ca="1" si="123"/>
        <v>45.130539773241424</v>
      </c>
      <c r="I672" s="97">
        <f t="shared" ca="1" si="119"/>
        <v>38.709565230007073</v>
      </c>
      <c r="J672" s="77">
        <f t="shared" ca="1" si="120"/>
        <v>74.813997048600214</v>
      </c>
      <c r="K672" s="77">
        <f t="shared" ca="1" si="124"/>
        <v>20.657349320710502</v>
      </c>
      <c r="L672" s="97">
        <f t="shared" ca="1" si="121"/>
        <v>1746.9835732177175</v>
      </c>
      <c r="N672" s="17"/>
    </row>
    <row r="673" spans="2:14" ht="17" customHeight="1" thickBot="1">
      <c r="B673" s="66">
        <v>20</v>
      </c>
      <c r="C673" s="77">
        <f t="shared" ca="1" si="125"/>
        <v>87.98898445112637</v>
      </c>
      <c r="D673" s="77">
        <f t="shared" ca="1" si="125"/>
        <v>18.494012208361561</v>
      </c>
      <c r="E673" s="77">
        <f t="shared" ca="1" si="125"/>
        <v>57.912476868970671</v>
      </c>
      <c r="F673" s="97">
        <f t="shared" ca="1" si="125"/>
        <v>2412.5760450708253</v>
      </c>
      <c r="G673" s="98" t="str">
        <f t="shared" ca="1" si="118"/>
        <v>sell</v>
      </c>
      <c r="H673" s="77">
        <f t="shared" ca="1" si="123"/>
        <v>54.993115281953976</v>
      </c>
      <c r="I673" s="97">
        <f t="shared" ca="1" si="119"/>
        <v>43.994492225563185</v>
      </c>
      <c r="J673" s="77">
        <f t="shared" ca="1" si="120"/>
        <v>87.98898445112637</v>
      </c>
      <c r="K673" s="77">
        <f t="shared" ca="1" si="124"/>
        <v>21.997246112781593</v>
      </c>
      <c r="L673" s="97">
        <f t="shared" ca="1" si="121"/>
        <v>2419.3941827314243</v>
      </c>
      <c r="N673" s="17"/>
    </row>
    <row r="674" spans="2:14" ht="17" customHeight="1" thickBot="1">
      <c r="B674" s="127" t="s">
        <v>251</v>
      </c>
      <c r="C674" s="77">
        <f ca="1">AVERAGE(C654:C673)</f>
        <v>80.984501512819079</v>
      </c>
      <c r="D674" s="77">
        <f ca="1">AVERAGE(D654:D673)</f>
        <v>19.635494937933316</v>
      </c>
      <c r="E674" s="77">
        <f ca="1">AVERAGE(E654:E673)</f>
        <v>51.124172145738129</v>
      </c>
      <c r="F674" s="97">
        <f ca="1">AVERAGE(F654:F673)</f>
        <v>2056.1104432723996</v>
      </c>
      <c r="G674" s="373"/>
      <c r="H674" s="77">
        <f ca="1">AVERAGE(H654:H673)</f>
        <v>50.615313445511923</v>
      </c>
      <c r="I674" s="97">
        <f ca="1">AVERAGE(I654:I673)</f>
        <v>40.823582910963907</v>
      </c>
      <c r="J674" s="77">
        <f ca="1">AVERAGE(J654:J673)</f>
        <v>81.315833667373454</v>
      </c>
      <c r="K674" s="77">
        <f ca="1">AVERAGE(K654:K673)</f>
        <v>20.577457532759144</v>
      </c>
      <c r="L674" s="97">
        <f ca="1">AVERAGE(L654:L673)</f>
        <v>2073.185046624812</v>
      </c>
      <c r="N674" s="17"/>
    </row>
    <row r="675" spans="2:14" ht="17" customHeight="1" thickBot="1">
      <c r="B675" s="127" t="s">
        <v>394</v>
      </c>
      <c r="C675" s="77">
        <f ca="1">STDEV(C654:C673)</f>
        <v>5.2235958074264941</v>
      </c>
      <c r="D675" s="77">
        <f ca="1">STDEV(D654:D673)</f>
        <v>0.96716614366599674</v>
      </c>
      <c r="E675" s="77">
        <f ca="1">STDEV(E654:E673)</f>
        <v>4.3774507912645388</v>
      </c>
      <c r="F675" s="97">
        <f ca="1">STDEV(F654:F673)</f>
        <v>260.63024151614775</v>
      </c>
      <c r="G675" s="373"/>
      <c r="H675" s="77">
        <f ca="1">STDEV(H654:H673)</f>
        <v>3.2647473796415589</v>
      </c>
      <c r="I675" s="97">
        <f ca="1">STDEV(I654:I673)</f>
        <v>2.2751628163091095</v>
      </c>
      <c r="J675" s="77">
        <f ca="1">STDEV(J654:J673)</f>
        <v>4.8576065161088895</v>
      </c>
      <c r="K675" s="77">
        <f ca="1">STDEV(K654:K673)</f>
        <v>1.0404299331441396</v>
      </c>
      <c r="L675" s="97">
        <f ca="1">STDEV(L654:L673)</f>
        <v>245.30934008478178</v>
      </c>
      <c r="N675" s="17"/>
    </row>
    <row r="676" spans="2:14" ht="17" customHeight="1" thickBot="1">
      <c r="B676" s="127" t="s">
        <v>395</v>
      </c>
      <c r="C676" s="285">
        <f ca="1">C675/C674</f>
        <v>6.4501178742202278E-2</v>
      </c>
      <c r="D676" s="285">
        <f ca="1">D675/D674</f>
        <v>4.925601044043728E-2</v>
      </c>
      <c r="E676" s="285">
        <f ca="1">E675/E674</f>
        <v>8.5623895850789958E-2</v>
      </c>
      <c r="F676" s="285">
        <f ca="1">F675/F674</f>
        <v>0.12675887249584805</v>
      </c>
      <c r="G676" s="373"/>
      <c r="H676" s="285">
        <f ca="1">H675/H674</f>
        <v>6.4501178742202278E-2</v>
      </c>
      <c r="I676" s="285">
        <f ca="1">I675/I674</f>
        <v>5.5731580965620579E-2</v>
      </c>
      <c r="J676" s="285">
        <f ca="1">J675/J674</f>
        <v>5.9737523395248897E-2</v>
      </c>
      <c r="K676" s="285">
        <f ca="1">K675/K674</f>
        <v>5.0561636756522699E-2</v>
      </c>
      <c r="L676" s="285">
        <f ca="1">L675/L674</f>
        <v>0.1183248646733925</v>
      </c>
      <c r="N676" s="17"/>
    </row>
    <row r="677" spans="2:14" ht="17" customHeight="1">
      <c r="B677" s="65"/>
      <c r="C677" s="13"/>
      <c r="D677" s="1"/>
      <c r="E677" s="10"/>
      <c r="F677" s="1"/>
      <c r="N677" s="17"/>
    </row>
    <row r="678" spans="2:14" ht="17" customHeight="1" thickBot="1">
      <c r="B678" s="65"/>
      <c r="C678" s="13"/>
      <c r="D678" s="1"/>
      <c r="E678" s="10"/>
      <c r="F678" s="1"/>
      <c r="G678" s="2" t="s">
        <v>80</v>
      </c>
      <c r="N678" s="17"/>
    </row>
    <row r="679" spans="2:14" ht="17" customHeight="1" thickBot="1">
      <c r="B679" s="65"/>
      <c r="C679" s="297"/>
      <c r="D679" s="139"/>
      <c r="E679" s="153"/>
      <c r="F679" s="139"/>
      <c r="G679" s="154" t="s">
        <v>371</v>
      </c>
      <c r="H679" s="139"/>
      <c r="I679" s="139"/>
      <c r="J679" s="139"/>
      <c r="K679" s="155"/>
    </row>
    <row r="680" spans="2:14" ht="17" customHeight="1" thickBot="1">
      <c r="B680" s="65"/>
      <c r="C680" s="13"/>
      <c r="D680" s="1"/>
      <c r="E680" s="10"/>
      <c r="F680" s="342" t="s">
        <v>152</v>
      </c>
      <c r="G680" s="342" t="s">
        <v>144</v>
      </c>
      <c r="H680" s="342" t="s">
        <v>181</v>
      </c>
    </row>
    <row r="681" spans="2:14" ht="17" customHeight="1" thickBot="1">
      <c r="B681" s="65"/>
      <c r="C681" s="13"/>
      <c r="D681" s="1"/>
      <c r="E681" s="12" t="s">
        <v>179</v>
      </c>
      <c r="F681" s="285">
        <f ca="1">E676</f>
        <v>8.5623895850789958E-2</v>
      </c>
      <c r="G681" s="285">
        <f ca="1">$D$277</f>
        <v>4.7248245604036808E-2</v>
      </c>
      <c r="H681" s="285">
        <f ca="1">F676</f>
        <v>0.12675887249584805</v>
      </c>
    </row>
    <row r="682" spans="2:14" ht="17" customHeight="1" thickBot="1">
      <c r="B682" s="65"/>
      <c r="C682" s="13"/>
      <c r="D682" s="1"/>
      <c r="E682" s="12" t="s">
        <v>81</v>
      </c>
      <c r="F682" s="285">
        <f ca="1">H676</f>
        <v>6.4501178742202278E-2</v>
      </c>
      <c r="G682" s="285">
        <f ca="1">I676</f>
        <v>5.5731580965620579E-2</v>
      </c>
      <c r="H682" s="285">
        <f ca="1">L676</f>
        <v>0.1183248646733925</v>
      </c>
      <c r="I682" s="17" t="s">
        <v>16</v>
      </c>
    </row>
    <row r="683" spans="2:14" ht="17" customHeight="1" thickBot="1">
      <c r="B683" s="65"/>
      <c r="C683" s="13"/>
      <c r="D683" s="1"/>
      <c r="E683" s="12" t="s">
        <v>0</v>
      </c>
      <c r="F683" s="341">
        <f ca="1">(F682-F681)/F681</f>
        <v>-0.24669184809572997</v>
      </c>
      <c r="G683" s="341">
        <f ca="1">(G682-G681)/G681</f>
        <v>0.17954815577023181</v>
      </c>
      <c r="H683" s="341">
        <f ca="1">(H682-H681)/H681</f>
        <v>-6.6535838134185107E-2</v>
      </c>
      <c r="I683" s="17" t="s">
        <v>15</v>
      </c>
    </row>
    <row r="684" spans="2:14" ht="17" customHeight="1">
      <c r="B684" s="65"/>
      <c r="C684" s="13"/>
      <c r="D684" s="1"/>
      <c r="E684" s="10"/>
      <c r="F684" s="1"/>
    </row>
    <row r="685" spans="2:14" ht="17" customHeight="1">
      <c r="B685" s="65"/>
      <c r="C685" s="13"/>
      <c r="D685" s="1"/>
      <c r="E685" s="10"/>
      <c r="F685" s="1"/>
    </row>
    <row r="686" spans="2:14" ht="17" customHeight="1">
      <c r="B686" s="65"/>
      <c r="C686" s="13"/>
      <c r="D686" s="1"/>
      <c r="E686" s="10"/>
      <c r="F686" s="1"/>
      <c r="G686" s="2" t="s">
        <v>17</v>
      </c>
    </row>
    <row r="687" spans="2:14" ht="17" customHeight="1">
      <c r="B687" s="65"/>
      <c r="C687" s="13"/>
      <c r="D687" s="1"/>
      <c r="E687" s="10"/>
      <c r="F687" s="1"/>
      <c r="G687" s="81" t="s">
        <v>18</v>
      </c>
    </row>
    <row r="688" spans="2:14" ht="17" customHeight="1">
      <c r="B688" s="65"/>
      <c r="C688" s="65">
        <v>7</v>
      </c>
      <c r="D688" s="13" t="s">
        <v>359</v>
      </c>
      <c r="E688" s="10"/>
      <c r="F688" s="1"/>
    </row>
    <row r="689" spans="2:6" ht="17" customHeight="1">
      <c r="B689" s="65"/>
      <c r="C689" s="65">
        <v>8</v>
      </c>
      <c r="D689" s="13" t="s">
        <v>360</v>
      </c>
      <c r="E689" s="10"/>
      <c r="F689" s="1"/>
    </row>
    <row r="690" spans="2:6" ht="17" customHeight="1">
      <c r="B690" s="65"/>
      <c r="C690" s="65">
        <v>9</v>
      </c>
      <c r="D690" s="13" t="s">
        <v>361</v>
      </c>
      <c r="E690" s="10"/>
      <c r="F690" s="1"/>
    </row>
    <row r="691" spans="2:6" ht="17" customHeight="1">
      <c r="B691" s="65"/>
      <c r="C691" s="65">
        <v>10</v>
      </c>
      <c r="D691" s="13" t="s">
        <v>362</v>
      </c>
      <c r="E691" s="10"/>
      <c r="F691" s="1"/>
    </row>
    <row r="692" spans="2:6" ht="17" customHeight="1">
      <c r="B692" s="65"/>
      <c r="C692" s="65">
        <v>11</v>
      </c>
      <c r="D692" s="13" t="s">
        <v>363</v>
      </c>
      <c r="E692" s="10"/>
      <c r="F692" s="1"/>
    </row>
    <row r="693" spans="2:6" ht="17" customHeight="1">
      <c r="B693" s="65"/>
      <c r="C693" s="65">
        <v>12</v>
      </c>
      <c r="D693" s="13" t="s">
        <v>364</v>
      </c>
      <c r="E693" s="10"/>
      <c r="F693" s="1"/>
    </row>
    <row r="694" spans="2:6" ht="17" customHeight="1">
      <c r="B694" s="65"/>
      <c r="C694" s="13"/>
      <c r="D694" s="1"/>
      <c r="E694" s="10"/>
      <c r="F694" s="1"/>
    </row>
    <row r="695" spans="2:6" ht="17" customHeight="1">
      <c r="B695" s="65"/>
      <c r="C695" s="13"/>
      <c r="D695" s="1"/>
      <c r="E695" s="10"/>
      <c r="F695" s="1"/>
    </row>
    <row r="696" spans="2:6" ht="17" customHeight="1">
      <c r="D696" s="1"/>
      <c r="E696" s="10"/>
      <c r="F696" s="1"/>
    </row>
    <row r="697" spans="2:6" ht="17" customHeight="1">
      <c r="D697" s="1"/>
      <c r="E697" s="10"/>
      <c r="F697" s="1"/>
    </row>
    <row r="698" spans="2:6" ht="17" customHeight="1">
      <c r="D698" s="1"/>
      <c r="E698" s="10"/>
      <c r="F698" s="1"/>
    </row>
    <row r="699" spans="2:6" ht="17" customHeight="1">
      <c r="D699" s="1"/>
      <c r="E699" s="10"/>
      <c r="F699" s="1"/>
    </row>
    <row r="700" spans="2:6" ht="17" customHeight="1">
      <c r="D700" s="1"/>
      <c r="E700" s="10"/>
      <c r="F700" s="1"/>
    </row>
    <row r="701" spans="2:6" ht="17" customHeight="1">
      <c r="D701" s="1"/>
      <c r="E701" s="10"/>
      <c r="F701" s="1"/>
    </row>
    <row r="702" spans="2:6" ht="17" customHeight="1">
      <c r="B702" s="65"/>
      <c r="C702" s="13"/>
      <c r="D702" s="1"/>
      <c r="E702" s="10"/>
      <c r="F702" s="1"/>
    </row>
    <row r="703" spans="2:6" ht="17" customHeight="1">
      <c r="B703" s="65"/>
      <c r="C703" s="13"/>
      <c r="D703" s="1"/>
      <c r="E703" s="10"/>
      <c r="F703" s="1"/>
    </row>
    <row r="704" spans="2:6" ht="17" customHeight="1"/>
    <row r="705" spans="2:7" ht="17" customHeight="1">
      <c r="F705" s="1"/>
      <c r="G705" s="2" t="s">
        <v>195</v>
      </c>
    </row>
    <row r="706" spans="2:7" ht="17" customHeight="1">
      <c r="B706" s="13" t="s">
        <v>299</v>
      </c>
      <c r="C706" s="1"/>
      <c r="D706" s="10"/>
      <c r="F706" s="2"/>
    </row>
    <row r="707" spans="2:7" ht="17" customHeight="1">
      <c r="B707" s="13" t="s">
        <v>202</v>
      </c>
      <c r="C707" s="1"/>
      <c r="D707" s="10"/>
      <c r="F707" s="2"/>
    </row>
    <row r="708" spans="2:7" ht="17" customHeight="1">
      <c r="B708" s="13"/>
      <c r="C708" s="1" t="s">
        <v>191</v>
      </c>
      <c r="D708" s="10"/>
      <c r="F708" s="2"/>
    </row>
    <row r="709" spans="2:7" ht="17" customHeight="1">
      <c r="B709" s="13" t="s">
        <v>297</v>
      </c>
      <c r="C709" s="1"/>
      <c r="D709" s="10"/>
      <c r="F709" s="1"/>
    </row>
    <row r="710" spans="2:7" ht="17" customHeight="1">
      <c r="B710" s="13"/>
      <c r="C710" s="24" t="s">
        <v>298</v>
      </c>
      <c r="D710" s="10"/>
      <c r="F710" s="1"/>
    </row>
    <row r="711" spans="2:7" ht="17" customHeight="1">
      <c r="B711" s="13" t="s">
        <v>190</v>
      </c>
      <c r="C711" s="24"/>
      <c r="D711" s="10"/>
      <c r="F711" s="1"/>
    </row>
    <row r="712" spans="2:7" ht="17" customHeight="1">
      <c r="B712" s="13" t="s">
        <v>197</v>
      </c>
      <c r="C712" s="1"/>
      <c r="D712" s="10"/>
      <c r="F712" s="1"/>
    </row>
    <row r="713" spans="2:7" ht="17" customHeight="1">
      <c r="B713" s="13"/>
      <c r="C713" s="24" t="s">
        <v>198</v>
      </c>
      <c r="D713" s="10"/>
      <c r="F713" s="1"/>
    </row>
    <row r="714" spans="2:7" ht="17" customHeight="1">
      <c r="B714" s="13" t="s">
        <v>204</v>
      </c>
      <c r="C714" s="24"/>
      <c r="D714" s="10"/>
      <c r="F714" s="1"/>
    </row>
    <row r="715" spans="2:7" ht="17" customHeight="1">
      <c r="B715" s="13"/>
      <c r="C715" s="1" t="s">
        <v>203</v>
      </c>
      <c r="D715" s="10"/>
      <c r="F715" s="1"/>
    </row>
    <row r="716" spans="2:7" ht="17" customHeight="1">
      <c r="B716" s="13" t="s">
        <v>105</v>
      </c>
      <c r="C716" s="1"/>
      <c r="D716" s="10"/>
      <c r="F716" s="1"/>
    </row>
    <row r="717" spans="2:7" ht="17" customHeight="1">
      <c r="B717" s="13" t="s">
        <v>162</v>
      </c>
      <c r="C717" s="1"/>
      <c r="D717" s="10"/>
      <c r="F717" s="1"/>
    </row>
    <row r="718" spans="2:7" ht="17" customHeight="1">
      <c r="B718" s="13"/>
      <c r="C718" s="1" t="s">
        <v>130</v>
      </c>
      <c r="D718" s="10"/>
      <c r="F718" s="1"/>
    </row>
    <row r="719" spans="2:7" ht="17" customHeight="1">
      <c r="B719" s="13" t="s">
        <v>340</v>
      </c>
      <c r="C719" s="1"/>
      <c r="D719" s="10"/>
      <c r="F719" s="1"/>
    </row>
    <row r="720" spans="2:7" ht="17" customHeight="1">
      <c r="B720" s="13"/>
      <c r="C720" s="1" t="s">
        <v>149</v>
      </c>
      <c r="D720" s="10"/>
      <c r="F720" s="1"/>
    </row>
    <row r="721" spans="2:6" ht="17" customHeight="1">
      <c r="B721" s="13" t="s">
        <v>382</v>
      </c>
      <c r="C721" s="1"/>
      <c r="D721" s="10"/>
      <c r="F721" s="1"/>
    </row>
    <row r="722" spans="2:6" ht="17" customHeight="1">
      <c r="B722" s="13"/>
      <c r="C722" s="24" t="s">
        <v>150</v>
      </c>
      <c r="D722" s="10"/>
      <c r="F722" s="1"/>
    </row>
    <row r="723" spans="2:6" ht="17" customHeight="1">
      <c r="B723" s="13" t="s">
        <v>196</v>
      </c>
      <c r="C723" s="24"/>
      <c r="D723" s="10"/>
      <c r="F723" s="1"/>
    </row>
    <row r="724" spans="2:6" ht="17" customHeight="1">
      <c r="B724" s="13" t="s">
        <v>240</v>
      </c>
      <c r="C724" s="1"/>
      <c r="D724" s="10"/>
      <c r="F724" s="1"/>
    </row>
    <row r="725" spans="2:6" ht="17" customHeight="1">
      <c r="B725" s="13" t="s">
        <v>344</v>
      </c>
      <c r="C725" s="1"/>
      <c r="D725" s="10"/>
      <c r="F725" s="1"/>
    </row>
    <row r="726" spans="2:6" ht="17" customHeight="1">
      <c r="B726" s="13"/>
      <c r="C726" s="1" t="s">
        <v>343</v>
      </c>
      <c r="D726" s="10"/>
      <c r="F726" s="1"/>
    </row>
    <row r="727" spans="2:6" ht="17" customHeight="1">
      <c r="B727" s="13" t="s">
        <v>158</v>
      </c>
      <c r="C727" s="1"/>
      <c r="D727" s="10"/>
      <c r="F727" s="1"/>
    </row>
    <row r="728" spans="2:6" ht="17" customHeight="1">
      <c r="B728" s="13"/>
      <c r="C728" s="1" t="s">
        <v>159</v>
      </c>
      <c r="D728" s="10"/>
      <c r="F728" s="1"/>
    </row>
    <row r="729" spans="2:6" ht="17" customHeight="1">
      <c r="B729" s="13" t="s">
        <v>381</v>
      </c>
      <c r="C729" s="1"/>
      <c r="D729" s="10"/>
      <c r="F729" s="1"/>
    </row>
    <row r="730" spans="2:6" ht="17" customHeight="1">
      <c r="B730" s="13"/>
      <c r="C730" s="24" t="s">
        <v>160</v>
      </c>
      <c r="D730" s="10"/>
      <c r="F730" s="1"/>
    </row>
    <row r="731" spans="2:6" ht="17" customHeight="1">
      <c r="B731" s="1" t="s">
        <v>231</v>
      </c>
      <c r="C731" s="1"/>
      <c r="D731" s="10"/>
      <c r="F731" s="1"/>
    </row>
    <row r="732" spans="2:6" ht="17" customHeight="1">
      <c r="B732" s="13"/>
      <c r="C732" s="1" t="s">
        <v>106</v>
      </c>
      <c r="D732" s="10"/>
      <c r="F732" s="1"/>
    </row>
    <row r="733" spans="2:6" ht="17" customHeight="1">
      <c r="B733" s="13" t="s">
        <v>232</v>
      </c>
      <c r="C733" s="1"/>
      <c r="D733" s="10"/>
      <c r="F733" s="1"/>
    </row>
    <row r="734" spans="2:6" ht="17" customHeight="1">
      <c r="B734" s="13" t="s">
        <v>296</v>
      </c>
      <c r="C734" s="1"/>
      <c r="D734" s="10"/>
      <c r="F734" s="1"/>
    </row>
    <row r="735" spans="2:6" ht="17" customHeight="1">
      <c r="B735" s="13"/>
      <c r="C735" s="1"/>
      <c r="D735" s="10"/>
      <c r="F735" s="1"/>
    </row>
    <row r="736" spans="2:6" ht="17" customHeight="1">
      <c r="B736" s="13"/>
      <c r="C736" s="1"/>
      <c r="D736" s="10"/>
      <c r="F736" s="1"/>
    </row>
    <row r="737" spans="2:6" ht="17" customHeight="1">
      <c r="B737" s="13"/>
      <c r="C737" s="1"/>
      <c r="D737" s="10"/>
      <c r="F737" s="1"/>
    </row>
    <row r="738" spans="2:6" ht="17" customHeight="1">
      <c r="B738" s="13"/>
      <c r="C738" s="1"/>
      <c r="D738" s="10"/>
      <c r="F738" s="1"/>
    </row>
    <row r="739" spans="2:6" ht="17" customHeight="1">
      <c r="B739" s="13"/>
      <c r="C739" s="1"/>
      <c r="D739" s="10"/>
      <c r="F739" s="1"/>
    </row>
    <row r="740" spans="2:6" ht="17" customHeight="1">
      <c r="B740" s="13"/>
      <c r="C740" s="1"/>
      <c r="D740" s="10"/>
      <c r="F740" s="1"/>
    </row>
    <row r="741" spans="2:6" ht="17" customHeight="1">
      <c r="B741" s="13"/>
      <c r="C741" s="1"/>
      <c r="D741" s="10"/>
      <c r="F741" s="1"/>
    </row>
    <row r="742" spans="2:6">
      <c r="B742" s="13"/>
      <c r="C742" s="1"/>
      <c r="D742" s="10"/>
      <c r="F742" s="1"/>
    </row>
    <row r="743" spans="2:6">
      <c r="B743" s="13"/>
      <c r="C743" s="1"/>
      <c r="D743" s="10"/>
      <c r="F743" s="1"/>
    </row>
    <row r="744" spans="2:6">
      <c r="B744" s="13"/>
      <c r="C744" s="1"/>
      <c r="D744" s="10"/>
      <c r="F744" s="1"/>
    </row>
    <row r="745" spans="2:6">
      <c r="B745" s="13"/>
      <c r="C745" s="1"/>
      <c r="D745" s="10"/>
      <c r="F745" s="1"/>
    </row>
    <row r="746" spans="2:6">
      <c r="B746" s="13"/>
      <c r="C746" s="1"/>
      <c r="D746" s="10"/>
      <c r="F746" s="1"/>
    </row>
    <row r="747" spans="2:6">
      <c r="B747" s="13"/>
      <c r="C747" s="1"/>
      <c r="D747" s="10"/>
      <c r="F747" s="1"/>
    </row>
    <row r="748" spans="2:6">
      <c r="B748" s="13"/>
      <c r="C748" s="1"/>
      <c r="D748" s="10"/>
      <c r="F748" s="1"/>
    </row>
    <row r="749" spans="2:6">
      <c r="B749" s="13"/>
      <c r="C749" s="1"/>
      <c r="D749" s="10"/>
      <c r="F749" s="1"/>
    </row>
  </sheetData>
  <pageMargins left="0.3" right="0.3" top="0.7" bottom="0.7" header="0.5" footer="0.5"/>
  <pageSetup paperSize="0" scale="75" orientation="portrait" horizontalDpi="4294967292" verticalDpi="4294967292"/>
  <headerFooter alignWithMargins="0">
    <oddFooter>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F47C7-85F0-CC47-B4E9-7BDE253169BD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B272D-A4FE-2044-A09E-D9DC733E051E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16035-A052-2940-8AA4-C88EEC3F13FE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B61F0-B4E2-6548-ABCC-FE2172580284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F8F3D-549E-C54B-AE78-598C2ED493FE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B24A9-1118-5F4B-A24A-40FEA2AD4672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6EDF7-C792-FC42-A114-EBFC2B320DF2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51B62-A3BD-A84E-8A6A-4549ACC5C565}">
  <dimension ref="A2:K47"/>
  <sheetViews>
    <sheetView workbookViewId="0">
      <selection activeCell="F27" sqref="F27"/>
    </sheetView>
  </sheetViews>
  <sheetFormatPr baseColWidth="10" defaultRowHeight="12"/>
  <cols>
    <col min="1" max="1" width="15.59765625" customWidth="1"/>
    <col min="2" max="2" width="13.3984375" bestFit="1" customWidth="1"/>
  </cols>
  <sheetData>
    <row r="2" spans="1:11" ht="13" thickBot="1">
      <c r="K2" s="42" t="s">
        <v>405</v>
      </c>
    </row>
    <row r="3" spans="1:11">
      <c r="B3" s="44" t="s">
        <v>35</v>
      </c>
      <c r="C3" s="44" t="s">
        <v>229</v>
      </c>
      <c r="D3" s="44" t="s">
        <v>230</v>
      </c>
      <c r="E3" s="44" t="s">
        <v>32</v>
      </c>
      <c r="F3" s="44" t="s">
        <v>33</v>
      </c>
      <c r="G3" s="54" t="s">
        <v>225</v>
      </c>
      <c r="H3" s="28"/>
      <c r="I3" s="28"/>
      <c r="J3" s="29"/>
      <c r="K3" s="38"/>
    </row>
    <row r="4" spans="1:11" ht="13" thickBot="1">
      <c r="B4" s="43" t="s">
        <v>34</v>
      </c>
      <c r="C4" s="43" t="s">
        <v>250</v>
      </c>
      <c r="D4" s="43" t="s">
        <v>250</v>
      </c>
      <c r="E4" s="43" t="s">
        <v>226</v>
      </c>
      <c r="F4" s="43" t="s">
        <v>226</v>
      </c>
      <c r="G4" s="57" t="s">
        <v>400</v>
      </c>
      <c r="H4" s="56">
        <f>($C$5+$B$7)/$C$6</f>
        <v>69.166666666666671</v>
      </c>
      <c r="I4" s="56">
        <f>-(1/$C$6)</f>
        <v>-0.83333333333333337</v>
      </c>
      <c r="J4" s="58" t="s">
        <v>234</v>
      </c>
      <c r="K4" s="39"/>
    </row>
    <row r="5" spans="1:11">
      <c r="A5" s="25" t="s">
        <v>273</v>
      </c>
      <c r="B5" s="45">
        <v>75</v>
      </c>
      <c r="C5" s="45">
        <v>75</v>
      </c>
      <c r="D5" s="45">
        <v>75</v>
      </c>
      <c r="E5" s="45">
        <v>75</v>
      </c>
      <c r="F5" s="45">
        <v>75</v>
      </c>
      <c r="G5" s="57"/>
      <c r="H5" s="59"/>
      <c r="I5" s="59"/>
      <c r="J5" s="58"/>
      <c r="K5" s="40">
        <f>($H$4-$H$6)*($B$13)*0.5</f>
        <v>1924.5075757575762</v>
      </c>
    </row>
    <row r="6" spans="1:11" ht="13" thickBot="1">
      <c r="A6" s="25" t="s">
        <v>274</v>
      </c>
      <c r="B6" s="46">
        <v>1.2</v>
      </c>
      <c r="C6" s="46">
        <v>1.2</v>
      </c>
      <c r="D6" s="46">
        <v>1.2</v>
      </c>
      <c r="E6" s="46">
        <v>1.2</v>
      </c>
      <c r="F6" s="46">
        <v>1.2</v>
      </c>
      <c r="G6" s="60" t="s">
        <v>401</v>
      </c>
      <c r="H6" s="61">
        <f>(-$C$8-$B$10)/($C$9)</f>
        <v>-12.727272727272727</v>
      </c>
      <c r="I6" s="62">
        <f>1/($C$9)</f>
        <v>0.90909090909090906</v>
      </c>
      <c r="J6" s="63" t="s">
        <v>235</v>
      </c>
      <c r="K6" s="41"/>
    </row>
    <row r="7" spans="1:11">
      <c r="A7" s="25" t="s">
        <v>238</v>
      </c>
      <c r="B7" s="47">
        <v>8</v>
      </c>
      <c r="C7" s="46">
        <v>5.37</v>
      </c>
      <c r="D7" s="46">
        <v>10.63</v>
      </c>
      <c r="E7" s="47">
        <f>H13*E6/E5</f>
        <v>1.1417333333333333</v>
      </c>
      <c r="F7" s="47">
        <f>H17*D6/D5</f>
        <v>1.1417333333333333</v>
      </c>
      <c r="G7" s="54" t="s">
        <v>30</v>
      </c>
      <c r="H7" s="28"/>
      <c r="I7" s="28"/>
      <c r="J7" s="29"/>
      <c r="K7" s="38"/>
    </row>
    <row r="8" spans="1:11">
      <c r="A8" s="25" t="s">
        <v>275</v>
      </c>
      <c r="B8" s="46">
        <v>6</v>
      </c>
      <c r="C8" s="46">
        <v>6</v>
      </c>
      <c r="D8" s="46">
        <v>6</v>
      </c>
      <c r="E8" s="46">
        <v>6</v>
      </c>
      <c r="F8" s="46">
        <v>6</v>
      </c>
      <c r="G8" s="51" t="s">
        <v>400</v>
      </c>
      <c r="H8" s="31">
        <f>($C$5+$C$7)/$C$6</f>
        <v>66.975000000000009</v>
      </c>
      <c r="I8" s="31">
        <f>-(1/$C$6)</f>
        <v>-0.83333333333333337</v>
      </c>
      <c r="J8" s="32" t="s">
        <v>234</v>
      </c>
      <c r="K8" s="39"/>
    </row>
    <row r="9" spans="1:11">
      <c r="A9" s="25" t="s">
        <v>276</v>
      </c>
      <c r="B9" s="46">
        <v>1.1000000000000001</v>
      </c>
      <c r="C9" s="46">
        <v>1.1000000000000001</v>
      </c>
      <c r="D9" s="46">
        <v>1.1000000000000001</v>
      </c>
      <c r="E9" s="46">
        <v>1.1000000000000001</v>
      </c>
      <c r="F9" s="46">
        <v>1.1000000000000001</v>
      </c>
      <c r="G9" s="51"/>
      <c r="H9" s="33"/>
      <c r="I9" s="33"/>
      <c r="J9" s="32"/>
      <c r="K9" s="40">
        <f>($H$8-$H$10)*$C$12*0.5</f>
        <v>1933.8833611660084</v>
      </c>
    </row>
    <row r="10" spans="1:11" ht="13" thickBot="1">
      <c r="A10" s="25" t="s">
        <v>239</v>
      </c>
      <c r="B10" s="48">
        <v>8</v>
      </c>
      <c r="C10" s="49">
        <v>10.63</v>
      </c>
      <c r="D10" s="49">
        <v>5.37</v>
      </c>
      <c r="E10" s="48">
        <f>H15*C9/C8</f>
        <v>-2.7716666666666669</v>
      </c>
      <c r="F10" s="48">
        <f>H24*D9/D8</f>
        <v>-2.7716666666666652</v>
      </c>
      <c r="G10" s="53" t="s">
        <v>401</v>
      </c>
      <c r="H10" s="35">
        <f>(-$C$8-$C$10)/($C$9)</f>
        <v>-15.118181818181819</v>
      </c>
      <c r="I10" s="36">
        <f>1/($C$9)</f>
        <v>0.90909090909090906</v>
      </c>
      <c r="J10" s="37" t="s">
        <v>235</v>
      </c>
      <c r="K10" s="41"/>
    </row>
    <row r="11" spans="1:11" ht="13" thickBot="1">
      <c r="A11" s="25" t="s">
        <v>246</v>
      </c>
      <c r="B11" s="50">
        <f>$H$4+$I$4*$B$13</f>
        <v>30</v>
      </c>
      <c r="C11" s="50">
        <f>$H$8+$I$8*$C$12</f>
        <v>27.713043478260872</v>
      </c>
      <c r="D11" s="50">
        <f>$H$19+$I$19*$D$12</f>
        <v>32.286956521739121</v>
      </c>
      <c r="E11" s="50">
        <f>$H$13+$I$13*$E$18</f>
        <v>30</v>
      </c>
      <c r="F11" s="50">
        <f>$H$22+$I$22*$F$12</f>
        <v>30</v>
      </c>
      <c r="G11" t="s">
        <v>228</v>
      </c>
    </row>
    <row r="12" spans="1:11">
      <c r="A12" s="25" t="s">
        <v>247</v>
      </c>
      <c r="B12" s="46">
        <f>($H$4-$H$6)/(-$I$4+$I$6)</f>
        <v>47.000000000000007</v>
      </c>
      <c r="C12" s="46">
        <f>($H$8-$H$10)/(-$I$8+$I$10)</f>
        <v>47.114347826086963</v>
      </c>
      <c r="D12" s="47">
        <f>($H$17-$H$19)/(-$I$17+$I$19)</f>
        <v>46.885652173913037</v>
      </c>
      <c r="E12" s="39">
        <f>($B$17-$H$15)/$I$15</f>
        <v>49.63</v>
      </c>
      <c r="F12" s="39">
        <f>($H$22-$H$24)/(-$I$22+$I$24)</f>
        <v>49.629999999999995</v>
      </c>
      <c r="G12" s="54" t="s">
        <v>227</v>
      </c>
      <c r="H12" s="28"/>
      <c r="I12" s="28"/>
      <c r="J12" s="29"/>
      <c r="K12" s="38"/>
    </row>
    <row r="13" spans="1:11">
      <c r="A13" s="25" t="s">
        <v>244</v>
      </c>
      <c r="B13" s="46">
        <f>($H$4-$H$6)/(-$I$4+$I$6)</f>
        <v>47.000000000000007</v>
      </c>
      <c r="C13" s="46">
        <f>(($C$6*$C$8+$C$9*$C$5)/($C$6+$C$9))+$C$7</f>
        <v>44.370000000000005</v>
      </c>
      <c r="D13" s="46">
        <f>(($D$6*$D$8+$D$9*$D$5)/($D$6+$D$9))+$D$7</f>
        <v>49.63000000000001</v>
      </c>
      <c r="E13" s="39">
        <f>($B$17-$H$15)/$I$15</f>
        <v>49.63</v>
      </c>
      <c r="F13" s="39">
        <f>($B$17-$H$17)/$I$17</f>
        <v>49.629999999999995</v>
      </c>
      <c r="G13" s="51" t="s">
        <v>400</v>
      </c>
      <c r="H13" s="56">
        <f>$B$17-$I$13*$E$18</f>
        <v>71.358333333333334</v>
      </c>
      <c r="I13" s="31">
        <f>-(1/$C$6)</f>
        <v>-0.83333333333333337</v>
      </c>
      <c r="J13" s="32" t="s">
        <v>234</v>
      </c>
      <c r="K13" s="39"/>
    </row>
    <row r="14" spans="1:11">
      <c r="A14" s="25" t="s">
        <v>245</v>
      </c>
      <c r="B14" s="46">
        <f>($B$11-$H$6)/I6</f>
        <v>47</v>
      </c>
      <c r="C14" s="46">
        <f>(($C$6*$C$8+$C$9*$C$5)/($C$6+$C$9))+$C$10</f>
        <v>49.63000000000001</v>
      </c>
      <c r="D14" s="46">
        <f>(($D$6*$D$8+$D$9*$D$5)/($D$6+$D$9))+$D$10</f>
        <v>44.370000000000005</v>
      </c>
      <c r="E14" s="39">
        <f>($B$17-$H$15)/$I$15</f>
        <v>49.63</v>
      </c>
      <c r="F14" s="39">
        <f>($B$17-$H$24)/$I$24</f>
        <v>49.629999999999995</v>
      </c>
      <c r="G14" s="51"/>
      <c r="H14" s="33"/>
      <c r="I14" s="33"/>
      <c r="J14" s="32"/>
      <c r="K14" s="40">
        <f>($H$13-$H$15)*$E$12*0.5</f>
        <v>2145.9147234848488</v>
      </c>
    </row>
    <row r="15" spans="1:11" ht="13" thickBot="1">
      <c r="A15" s="25" t="s">
        <v>402</v>
      </c>
      <c r="B15" s="49">
        <f>$B$14-$B$13</f>
        <v>0</v>
      </c>
      <c r="C15" s="49">
        <f>$C$14-$C$13</f>
        <v>5.2600000000000051</v>
      </c>
      <c r="D15" s="49">
        <f>$D$14-$D$13</f>
        <v>-5.2600000000000051</v>
      </c>
      <c r="E15" s="49">
        <f>$B$14-$B$13</f>
        <v>0</v>
      </c>
      <c r="F15" s="49">
        <f>$B$14-$B$13</f>
        <v>0</v>
      </c>
      <c r="G15" s="34" t="s">
        <v>401</v>
      </c>
      <c r="H15" s="35">
        <f>$H$10</f>
        <v>-15.118181818181819</v>
      </c>
      <c r="I15" s="36">
        <f>1/($D$9)</f>
        <v>0.90909090909090906</v>
      </c>
      <c r="J15" s="37" t="s">
        <v>235</v>
      </c>
      <c r="K15" s="41"/>
    </row>
    <row r="16" spans="1:11">
      <c r="F16" s="28"/>
      <c r="G16" s="55" t="s">
        <v>31</v>
      </c>
      <c r="H16" s="28"/>
      <c r="I16" s="28"/>
      <c r="J16" s="29"/>
      <c r="K16" s="38"/>
    </row>
    <row r="17" spans="1:11">
      <c r="A17" s="25" t="s">
        <v>403</v>
      </c>
      <c r="B17" s="27">
        <v>30</v>
      </c>
      <c r="E17" s="27">
        <f>$H$13+$I$13*$E$18</f>
        <v>30</v>
      </c>
      <c r="F17" s="27">
        <f>$H$22+$I$22*$F$12</f>
        <v>30</v>
      </c>
      <c r="G17" s="30" t="s">
        <v>400</v>
      </c>
      <c r="H17" s="31">
        <f>($D$5+$D$7)/$D$6</f>
        <v>71.358333333333334</v>
      </c>
      <c r="I17" s="31">
        <f>-(1/$D$6)</f>
        <v>-0.83333333333333337</v>
      </c>
      <c r="J17" s="32" t="s">
        <v>234</v>
      </c>
      <c r="K17" s="39"/>
    </row>
    <row r="18" spans="1:11">
      <c r="A18" s="25" t="s">
        <v>404</v>
      </c>
      <c r="B18" s="26">
        <v>47</v>
      </c>
      <c r="E18">
        <f>($B$17-$H$15)/$I$15</f>
        <v>49.63</v>
      </c>
      <c r="F18">
        <f>($B$17-$H$24)/$I$24</f>
        <v>49.629999999999995</v>
      </c>
      <c r="G18" s="30"/>
      <c r="H18" s="33"/>
      <c r="I18" s="33"/>
      <c r="J18" s="32"/>
      <c r="K18" s="40">
        <f>($H$8-$H$10)*$C$12*0.5</f>
        <v>1933.8833611660084</v>
      </c>
    </row>
    <row r="19" spans="1:11" ht="13" thickBot="1">
      <c r="A19" s="25" t="s">
        <v>157</v>
      </c>
      <c r="E19" s="26">
        <f>E18-B18</f>
        <v>2.6300000000000026</v>
      </c>
      <c r="F19" s="31">
        <f>F18-B18</f>
        <v>2.6299999999999955</v>
      </c>
      <c r="G19" s="34" t="s">
        <v>401</v>
      </c>
      <c r="H19" s="35">
        <f>(-$D$8-$D$10)/($D$9)</f>
        <v>-10.336363636363636</v>
      </c>
      <c r="I19" s="36">
        <f>1/($D$9)</f>
        <v>0.90909090909090906</v>
      </c>
      <c r="J19" s="37" t="s">
        <v>235</v>
      </c>
      <c r="K19" s="41"/>
    </row>
    <row r="20" spans="1:11" ht="13" thickBot="1">
      <c r="F20" s="33"/>
      <c r="G20" t="s">
        <v>380</v>
      </c>
    </row>
    <row r="21" spans="1:11">
      <c r="F21" s="33"/>
      <c r="G21" s="55" t="s">
        <v>227</v>
      </c>
      <c r="H21" s="28"/>
      <c r="I21" s="28"/>
      <c r="J21" s="29"/>
      <c r="K21" s="38"/>
    </row>
    <row r="22" spans="1:11">
      <c r="F22" s="33"/>
      <c r="G22" s="30" t="s">
        <v>400</v>
      </c>
      <c r="H22" s="31">
        <f>$B$17-$I$13*$E$18</f>
        <v>71.358333333333334</v>
      </c>
      <c r="I22" s="31">
        <f>-(1/$C$6)</f>
        <v>-0.83333333333333337</v>
      </c>
      <c r="J22" s="32" t="s">
        <v>234</v>
      </c>
      <c r="K22" s="39"/>
    </row>
    <row r="23" spans="1:11">
      <c r="F23" s="33"/>
      <c r="G23" s="30"/>
      <c r="H23" s="33"/>
      <c r="I23" s="33"/>
      <c r="J23" s="32"/>
      <c r="K23" s="40">
        <f>($H$22-$H$24)*$F$12*0.5</f>
        <v>2145.9147234848483</v>
      </c>
    </row>
    <row r="24" spans="1:11" ht="13" thickBot="1">
      <c r="F24" s="33"/>
      <c r="G24" s="34" t="s">
        <v>401</v>
      </c>
      <c r="H24" s="61">
        <f>$B$17-$I$19*$F$13</f>
        <v>-15.11818181818181</v>
      </c>
      <c r="I24" s="36">
        <f>1/($C$9)</f>
        <v>0.90909090909090906</v>
      </c>
      <c r="J24" s="37" t="s">
        <v>235</v>
      </c>
      <c r="K24" s="41"/>
    </row>
    <row r="25" spans="1:11">
      <c r="F25" s="33"/>
      <c r="G25" s="51"/>
      <c r="H25" s="31"/>
      <c r="I25" s="52"/>
      <c r="J25" s="33"/>
      <c r="K25" s="33"/>
    </row>
    <row r="26" spans="1:11">
      <c r="F26" s="33"/>
      <c r="G26" s="51"/>
      <c r="H26" s="31"/>
      <c r="I26" s="52"/>
      <c r="J26" s="33"/>
      <c r="K26" s="33"/>
    </row>
    <row r="30" spans="1:11">
      <c r="F30" s="26"/>
    </row>
    <row r="37" spans="7:7">
      <c r="G37" s="25"/>
    </row>
    <row r="38" spans="7:7">
      <c r="G38" s="25"/>
    </row>
    <row r="39" spans="7:7">
      <c r="G39" s="25"/>
    </row>
    <row r="46" spans="7:7">
      <c r="G46" s="25"/>
    </row>
    <row r="47" spans="7:7">
      <c r="G47" s="25"/>
    </row>
  </sheetData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1A758-E2A9-6940-9373-4BA6CC53142A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EA81-8105-154C-9B8B-29D5604544D9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B9605-9A9E-3C44-8A46-610F73D6B65A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3390A-0D34-D14C-A947-B0CCADE7BA1C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F5C5F-C4FF-E141-85DB-F5B4385ED70F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C1097-0782-4446-8EE7-03CE43111378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EF7D1-624E-894A-9EE0-EED8F4F9817B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Information Technology</dc:creator>
  <cp:keywords/>
  <dc:description/>
  <cp:lastModifiedBy>Phillip LeBel</cp:lastModifiedBy>
  <cp:lastPrinted>2001-04-24T16:37:13Z</cp:lastPrinted>
  <dcterms:created xsi:type="dcterms:W3CDTF">1998-11-04T18:36:00Z</dcterms:created>
  <dcterms:modified xsi:type="dcterms:W3CDTF">2025-09-30T21:43:51Z</dcterms:modified>
</cp:coreProperties>
</file>