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1520931F-3403-6041-BCC5-2055836FF1DB}" xr6:coauthVersionLast="45" xr6:coauthVersionMax="45" xr10:uidLastSave="{00000000-0000-0000-0000-000000000000}"/>
  <bookViews>
    <workbookView xWindow="0" yWindow="460" windowWidth="25100" windowHeight="15540" tabRatio="253"/>
  </bookViews>
  <sheets>
    <sheet name="Ed.Forecasting Model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9" i="1" l="1"/>
  <c r="N169" i="1"/>
  <c r="M169" i="1"/>
  <c r="L169" i="1"/>
  <c r="K169" i="1"/>
  <c r="J169" i="1"/>
  <c r="I169" i="1"/>
  <c r="E104" i="1"/>
  <c r="D102" i="1"/>
  <c r="D101" i="1"/>
  <c r="E96" i="1"/>
  <c r="D94" i="1"/>
  <c r="D93" i="1"/>
  <c r="C89" i="1"/>
  <c r="C88" i="1"/>
  <c r="C87" i="1"/>
  <c r="C84" i="1"/>
  <c r="C83" i="1"/>
  <c r="C82" i="1"/>
  <c r="C81" i="1"/>
  <c r="C78" i="1"/>
  <c r="C77" i="1"/>
  <c r="C76" i="1"/>
  <c r="C75" i="1"/>
  <c r="D41" i="1"/>
  <c r="D40" i="1"/>
  <c r="C37" i="1"/>
  <c r="C36" i="1"/>
  <c r="C35" i="1"/>
  <c r="C32" i="1"/>
  <c r="C31" i="1"/>
  <c r="C30" i="1"/>
  <c r="C29" i="1"/>
  <c r="C24" i="1"/>
  <c r="C23" i="1"/>
  <c r="C22" i="1"/>
  <c r="C21" i="1"/>
  <c r="E13" i="1"/>
  <c r="E15" i="1"/>
  <c r="S8" i="1"/>
  <c r="E14" i="1"/>
  <c r="B5" i="1"/>
  <c r="E7" i="1"/>
  <c r="E6" i="1"/>
  <c r="E5" i="1"/>
  <c r="F15" i="1"/>
  <c r="G15" i="1"/>
  <c r="H15" i="1"/>
  <c r="I15" i="1"/>
  <c r="J15" i="1"/>
  <c r="K15" i="1"/>
  <c r="L15" i="1"/>
  <c r="M15" i="1"/>
  <c r="N15" i="1"/>
  <c r="O15" i="1"/>
  <c r="F221" i="1"/>
  <c r="F5" i="1"/>
  <c r="G5" i="1"/>
  <c r="H5" i="1"/>
  <c r="I5" i="1"/>
  <c r="J5" i="1"/>
  <c r="K5" i="1"/>
  <c r="L5" i="1"/>
  <c r="M5" i="1"/>
  <c r="N5" i="1"/>
  <c r="O5" i="1"/>
  <c r="F6" i="1"/>
  <c r="G6" i="1"/>
  <c r="H6" i="1"/>
  <c r="I6" i="1"/>
  <c r="J6" i="1"/>
  <c r="K6" i="1"/>
  <c r="L6" i="1"/>
  <c r="M6" i="1"/>
  <c r="N6" i="1"/>
  <c r="O6" i="1"/>
  <c r="F7" i="1"/>
  <c r="G7" i="1"/>
  <c r="H7" i="1"/>
  <c r="I7" i="1"/>
  <c r="J7" i="1"/>
  <c r="K7" i="1"/>
  <c r="L7" i="1"/>
  <c r="M7" i="1"/>
  <c r="N7" i="1"/>
  <c r="O7" i="1"/>
  <c r="O10" i="1"/>
  <c r="O16" i="1"/>
  <c r="F220" i="1"/>
  <c r="F151" i="1"/>
  <c r="F150" i="1"/>
  <c r="G151" i="1"/>
  <c r="F149" i="1"/>
  <c r="G150" i="1"/>
  <c r="H151" i="1"/>
  <c r="F148" i="1"/>
  <c r="G149" i="1"/>
  <c r="H150" i="1"/>
  <c r="I151" i="1"/>
  <c r="G148" i="1"/>
  <c r="H149" i="1"/>
  <c r="I150" i="1"/>
  <c r="J151" i="1"/>
  <c r="H148" i="1"/>
  <c r="I149" i="1"/>
  <c r="J150" i="1"/>
  <c r="K151" i="1"/>
  <c r="I148" i="1"/>
  <c r="J149" i="1"/>
  <c r="K150" i="1"/>
  <c r="L151" i="1"/>
  <c r="J148" i="1"/>
  <c r="K149" i="1"/>
  <c r="L150" i="1"/>
  <c r="M151" i="1"/>
  <c r="E157" i="1"/>
  <c r="E153" i="1"/>
  <c r="F153" i="1"/>
  <c r="G153" i="1"/>
  <c r="H153" i="1"/>
  <c r="I153" i="1"/>
  <c r="J153" i="1"/>
  <c r="K148" i="1"/>
  <c r="K153" i="1"/>
  <c r="L148" i="1"/>
  <c r="L149" i="1"/>
  <c r="L153" i="1"/>
  <c r="M148" i="1"/>
  <c r="M149" i="1"/>
  <c r="M150" i="1"/>
  <c r="M153" i="1"/>
  <c r="E162" i="1"/>
  <c r="M221" i="1"/>
  <c r="E158" i="1"/>
  <c r="M220" i="1"/>
  <c r="F10" i="1"/>
  <c r="F21" i="1"/>
  <c r="F75" i="1"/>
  <c r="F22" i="1"/>
  <c r="F76" i="1"/>
  <c r="F23" i="1"/>
  <c r="F77" i="1"/>
  <c r="F24" i="1"/>
  <c r="F78" i="1"/>
  <c r="F79" i="1"/>
  <c r="F109" i="1"/>
  <c r="F116" i="1"/>
  <c r="F29" i="1"/>
  <c r="F81" i="1"/>
  <c r="F30" i="1"/>
  <c r="F82" i="1"/>
  <c r="F31" i="1"/>
  <c r="F83" i="1"/>
  <c r="F32" i="1"/>
  <c r="F84" i="1"/>
  <c r="F85" i="1"/>
  <c r="F110" i="1"/>
  <c r="F117" i="1"/>
  <c r="F35" i="1"/>
  <c r="F87" i="1"/>
  <c r="F36" i="1"/>
  <c r="F88" i="1"/>
  <c r="F37" i="1"/>
  <c r="F89" i="1"/>
  <c r="F90" i="1"/>
  <c r="F111" i="1"/>
  <c r="F118" i="1"/>
  <c r="F40" i="1"/>
  <c r="E97" i="1"/>
  <c r="F98" i="1"/>
  <c r="F112" i="1"/>
  <c r="F119" i="1"/>
  <c r="F41" i="1"/>
  <c r="E105" i="1"/>
  <c r="F106" i="1"/>
  <c r="F113" i="1"/>
  <c r="F120" i="1"/>
  <c r="F121" i="1"/>
  <c r="G166" i="1"/>
  <c r="G164" i="1"/>
  <c r="H164" i="1"/>
  <c r="G167" i="1"/>
  <c r="G168" i="1"/>
  <c r="G170" i="1"/>
  <c r="G10" i="1"/>
  <c r="G21" i="1"/>
  <c r="G75" i="1"/>
  <c r="G22" i="1"/>
  <c r="G76" i="1"/>
  <c r="G23" i="1"/>
  <c r="G77" i="1"/>
  <c r="G24" i="1"/>
  <c r="G78" i="1"/>
  <c r="G79" i="1"/>
  <c r="G109" i="1"/>
  <c r="G116" i="1"/>
  <c r="G29" i="1"/>
  <c r="G81" i="1"/>
  <c r="G30" i="1"/>
  <c r="G82" i="1"/>
  <c r="G31" i="1"/>
  <c r="G83" i="1"/>
  <c r="G32" i="1"/>
  <c r="G84" i="1"/>
  <c r="G85" i="1"/>
  <c r="G110" i="1"/>
  <c r="G117" i="1"/>
  <c r="G35" i="1"/>
  <c r="G87" i="1"/>
  <c r="G36" i="1"/>
  <c r="G88" i="1"/>
  <c r="G37" i="1"/>
  <c r="G89" i="1"/>
  <c r="G90" i="1"/>
  <c r="G111" i="1"/>
  <c r="G118" i="1"/>
  <c r="G40" i="1"/>
  <c r="G98" i="1"/>
  <c r="G112" i="1"/>
  <c r="G119" i="1"/>
  <c r="G41" i="1"/>
  <c r="G106" i="1"/>
  <c r="G113" i="1"/>
  <c r="G120" i="1"/>
  <c r="G121" i="1"/>
  <c r="H166" i="1"/>
  <c r="I164" i="1"/>
  <c r="H167" i="1"/>
  <c r="H168" i="1"/>
  <c r="H170" i="1"/>
  <c r="H10" i="1"/>
  <c r="H21" i="1"/>
  <c r="H75" i="1"/>
  <c r="H22" i="1"/>
  <c r="H76" i="1"/>
  <c r="H23" i="1"/>
  <c r="H77" i="1"/>
  <c r="H24" i="1"/>
  <c r="H78" i="1"/>
  <c r="H79" i="1"/>
  <c r="H109" i="1"/>
  <c r="H116" i="1"/>
  <c r="H29" i="1"/>
  <c r="H81" i="1"/>
  <c r="H30" i="1"/>
  <c r="H82" i="1"/>
  <c r="H31" i="1"/>
  <c r="H83" i="1"/>
  <c r="H32" i="1"/>
  <c r="H84" i="1"/>
  <c r="H85" i="1"/>
  <c r="H110" i="1"/>
  <c r="H117" i="1"/>
  <c r="H35" i="1"/>
  <c r="H87" i="1"/>
  <c r="H36" i="1"/>
  <c r="H88" i="1"/>
  <c r="H37" i="1"/>
  <c r="H89" i="1"/>
  <c r="H90" i="1"/>
  <c r="H111" i="1"/>
  <c r="H118" i="1"/>
  <c r="H40" i="1"/>
  <c r="H98" i="1"/>
  <c r="H112" i="1"/>
  <c r="H119" i="1"/>
  <c r="H41" i="1"/>
  <c r="H106" i="1"/>
  <c r="H113" i="1"/>
  <c r="H120" i="1"/>
  <c r="H121" i="1"/>
  <c r="I166" i="1"/>
  <c r="J164" i="1"/>
  <c r="I167" i="1"/>
  <c r="I168" i="1"/>
  <c r="I170" i="1"/>
  <c r="I10" i="1"/>
  <c r="I21" i="1"/>
  <c r="I75" i="1"/>
  <c r="I22" i="1"/>
  <c r="I76" i="1"/>
  <c r="I23" i="1"/>
  <c r="I77" i="1"/>
  <c r="I24" i="1"/>
  <c r="I78" i="1"/>
  <c r="I79" i="1"/>
  <c r="I109" i="1"/>
  <c r="I116" i="1"/>
  <c r="I29" i="1"/>
  <c r="I81" i="1"/>
  <c r="I30" i="1"/>
  <c r="I82" i="1"/>
  <c r="I31" i="1"/>
  <c r="I83" i="1"/>
  <c r="I32" i="1"/>
  <c r="I84" i="1"/>
  <c r="I85" i="1"/>
  <c r="I110" i="1"/>
  <c r="I117" i="1"/>
  <c r="I35" i="1"/>
  <c r="I87" i="1"/>
  <c r="I36" i="1"/>
  <c r="I88" i="1"/>
  <c r="I37" i="1"/>
  <c r="I89" i="1"/>
  <c r="I90" i="1"/>
  <c r="I111" i="1"/>
  <c r="I118" i="1"/>
  <c r="I40" i="1"/>
  <c r="I98" i="1"/>
  <c r="I112" i="1"/>
  <c r="I119" i="1"/>
  <c r="I41" i="1"/>
  <c r="I106" i="1"/>
  <c r="I113" i="1"/>
  <c r="I120" i="1"/>
  <c r="I121" i="1"/>
  <c r="J166" i="1"/>
  <c r="J167" i="1"/>
  <c r="J168" i="1"/>
  <c r="J170" i="1"/>
  <c r="J10" i="1"/>
  <c r="J21" i="1"/>
  <c r="J75" i="1"/>
  <c r="J22" i="1"/>
  <c r="J76" i="1"/>
  <c r="J23" i="1"/>
  <c r="J77" i="1"/>
  <c r="J24" i="1"/>
  <c r="J78" i="1"/>
  <c r="J79" i="1"/>
  <c r="J109" i="1"/>
  <c r="J116" i="1"/>
  <c r="J29" i="1"/>
  <c r="J81" i="1"/>
  <c r="J30" i="1"/>
  <c r="J82" i="1"/>
  <c r="J31" i="1"/>
  <c r="J83" i="1"/>
  <c r="J32" i="1"/>
  <c r="J84" i="1"/>
  <c r="J85" i="1"/>
  <c r="J110" i="1"/>
  <c r="J117" i="1"/>
  <c r="J35" i="1"/>
  <c r="J87" i="1"/>
  <c r="J36" i="1"/>
  <c r="J88" i="1"/>
  <c r="J37" i="1"/>
  <c r="J89" i="1"/>
  <c r="J90" i="1"/>
  <c r="J111" i="1"/>
  <c r="J118" i="1"/>
  <c r="J40" i="1"/>
  <c r="J98" i="1"/>
  <c r="J112" i="1"/>
  <c r="J119" i="1"/>
  <c r="J41" i="1"/>
  <c r="J106" i="1"/>
  <c r="J113" i="1"/>
  <c r="J120" i="1"/>
  <c r="J121" i="1"/>
  <c r="K166" i="1"/>
  <c r="K164" i="1"/>
  <c r="K167" i="1"/>
  <c r="K168" i="1"/>
  <c r="K170" i="1"/>
  <c r="K10" i="1"/>
  <c r="K21" i="1"/>
  <c r="K75" i="1"/>
  <c r="K22" i="1"/>
  <c r="K76" i="1"/>
  <c r="K23" i="1"/>
  <c r="K77" i="1"/>
  <c r="K24" i="1"/>
  <c r="K78" i="1"/>
  <c r="K79" i="1"/>
  <c r="K109" i="1"/>
  <c r="K116" i="1"/>
  <c r="K29" i="1"/>
  <c r="K81" i="1"/>
  <c r="K30" i="1"/>
  <c r="K82" i="1"/>
  <c r="K31" i="1"/>
  <c r="K83" i="1"/>
  <c r="K32" i="1"/>
  <c r="K84" i="1"/>
  <c r="K85" i="1"/>
  <c r="K110" i="1"/>
  <c r="K117" i="1"/>
  <c r="K35" i="1"/>
  <c r="K87" i="1"/>
  <c r="K36" i="1"/>
  <c r="K88" i="1"/>
  <c r="K37" i="1"/>
  <c r="K89" i="1"/>
  <c r="K90" i="1"/>
  <c r="K111" i="1"/>
  <c r="K118" i="1"/>
  <c r="K40" i="1"/>
  <c r="K98" i="1"/>
  <c r="K112" i="1"/>
  <c r="K119" i="1"/>
  <c r="K41" i="1"/>
  <c r="K106" i="1"/>
  <c r="K113" i="1"/>
  <c r="K120" i="1"/>
  <c r="K121" i="1"/>
  <c r="L166" i="1"/>
  <c r="L164" i="1"/>
  <c r="L167" i="1"/>
  <c r="L168" i="1"/>
  <c r="L170" i="1"/>
  <c r="L10" i="1"/>
  <c r="L21" i="1"/>
  <c r="L75" i="1"/>
  <c r="L22" i="1"/>
  <c r="L76" i="1"/>
  <c r="L23" i="1"/>
  <c r="L77" i="1"/>
  <c r="L24" i="1"/>
  <c r="L78" i="1"/>
  <c r="L79" i="1"/>
  <c r="L109" i="1"/>
  <c r="L116" i="1"/>
  <c r="L29" i="1"/>
  <c r="L81" i="1"/>
  <c r="L30" i="1"/>
  <c r="L82" i="1"/>
  <c r="L31" i="1"/>
  <c r="L83" i="1"/>
  <c r="L32" i="1"/>
  <c r="L84" i="1"/>
  <c r="L85" i="1"/>
  <c r="L110" i="1"/>
  <c r="L117" i="1"/>
  <c r="L35" i="1"/>
  <c r="L87" i="1"/>
  <c r="L36" i="1"/>
  <c r="L88" i="1"/>
  <c r="L37" i="1"/>
  <c r="L89" i="1"/>
  <c r="L90" i="1"/>
  <c r="L111" i="1"/>
  <c r="L118" i="1"/>
  <c r="L40" i="1"/>
  <c r="L98" i="1"/>
  <c r="L112" i="1"/>
  <c r="L119" i="1"/>
  <c r="L41" i="1"/>
  <c r="L106" i="1"/>
  <c r="L113" i="1"/>
  <c r="L120" i="1"/>
  <c r="L121" i="1"/>
  <c r="M166" i="1"/>
  <c r="M164" i="1"/>
  <c r="M167" i="1"/>
  <c r="M168" i="1"/>
  <c r="M170" i="1"/>
  <c r="M10" i="1"/>
  <c r="M21" i="1"/>
  <c r="M75" i="1"/>
  <c r="M22" i="1"/>
  <c r="M76" i="1"/>
  <c r="M23" i="1"/>
  <c r="M77" i="1"/>
  <c r="M24" i="1"/>
  <c r="M78" i="1"/>
  <c r="M79" i="1"/>
  <c r="M109" i="1"/>
  <c r="M116" i="1"/>
  <c r="M29" i="1"/>
  <c r="M81" i="1"/>
  <c r="M30" i="1"/>
  <c r="M82" i="1"/>
  <c r="M31" i="1"/>
  <c r="M83" i="1"/>
  <c r="M32" i="1"/>
  <c r="M84" i="1"/>
  <c r="M85" i="1"/>
  <c r="M110" i="1"/>
  <c r="M117" i="1"/>
  <c r="M35" i="1"/>
  <c r="M87" i="1"/>
  <c r="M36" i="1"/>
  <c r="M88" i="1"/>
  <c r="M37" i="1"/>
  <c r="M89" i="1"/>
  <c r="M90" i="1"/>
  <c r="M111" i="1"/>
  <c r="M118" i="1"/>
  <c r="M40" i="1"/>
  <c r="M98" i="1"/>
  <c r="M112" i="1"/>
  <c r="M119" i="1"/>
  <c r="M41" i="1"/>
  <c r="M106" i="1"/>
  <c r="M113" i="1"/>
  <c r="M120" i="1"/>
  <c r="M121" i="1"/>
  <c r="N166" i="1"/>
  <c r="N164" i="1"/>
  <c r="N167" i="1"/>
  <c r="N168" i="1"/>
  <c r="N170" i="1"/>
  <c r="N10" i="1"/>
  <c r="N21" i="1"/>
  <c r="N75" i="1"/>
  <c r="N22" i="1"/>
  <c r="N76" i="1"/>
  <c r="N23" i="1"/>
  <c r="N77" i="1"/>
  <c r="N24" i="1"/>
  <c r="N78" i="1"/>
  <c r="N79" i="1"/>
  <c r="N109" i="1"/>
  <c r="N116" i="1"/>
  <c r="N29" i="1"/>
  <c r="N81" i="1"/>
  <c r="N30" i="1"/>
  <c r="N82" i="1"/>
  <c r="N31" i="1"/>
  <c r="N83" i="1"/>
  <c r="N32" i="1"/>
  <c r="N84" i="1"/>
  <c r="N85" i="1"/>
  <c r="N110" i="1"/>
  <c r="N117" i="1"/>
  <c r="N35" i="1"/>
  <c r="N87" i="1"/>
  <c r="N36" i="1"/>
  <c r="N88" i="1"/>
  <c r="N37" i="1"/>
  <c r="N89" i="1"/>
  <c r="N90" i="1"/>
  <c r="N111" i="1"/>
  <c r="N118" i="1"/>
  <c r="N40" i="1"/>
  <c r="N98" i="1"/>
  <c r="N112" i="1"/>
  <c r="N119" i="1"/>
  <c r="N41" i="1"/>
  <c r="N106" i="1"/>
  <c r="N113" i="1"/>
  <c r="N120" i="1"/>
  <c r="N121" i="1"/>
  <c r="O166" i="1"/>
  <c r="O164" i="1"/>
  <c r="O167" i="1"/>
  <c r="O168" i="1"/>
  <c r="O170" i="1"/>
  <c r="E10" i="1"/>
  <c r="E21" i="1"/>
  <c r="E75" i="1"/>
  <c r="E22" i="1"/>
  <c r="E76" i="1"/>
  <c r="E23" i="1"/>
  <c r="E77" i="1"/>
  <c r="E24" i="1"/>
  <c r="E78" i="1"/>
  <c r="E79" i="1"/>
  <c r="E109" i="1"/>
  <c r="E116" i="1"/>
  <c r="E29" i="1"/>
  <c r="E81" i="1"/>
  <c r="E30" i="1"/>
  <c r="E82" i="1"/>
  <c r="E31" i="1"/>
  <c r="E83" i="1"/>
  <c r="E32" i="1"/>
  <c r="E84" i="1"/>
  <c r="E85" i="1"/>
  <c r="E110" i="1"/>
  <c r="E117" i="1"/>
  <c r="E35" i="1"/>
  <c r="E87" i="1"/>
  <c r="E36" i="1"/>
  <c r="E88" i="1"/>
  <c r="E37" i="1"/>
  <c r="E89" i="1"/>
  <c r="E90" i="1"/>
  <c r="E111" i="1"/>
  <c r="E118" i="1"/>
  <c r="E40" i="1"/>
  <c r="E98" i="1"/>
  <c r="E112" i="1"/>
  <c r="E119" i="1"/>
  <c r="E41" i="1"/>
  <c r="E106" i="1"/>
  <c r="E113" i="1"/>
  <c r="E120" i="1"/>
  <c r="E121" i="1"/>
  <c r="F166" i="1"/>
  <c r="F168" i="1"/>
  <c r="F170" i="1"/>
  <c r="E176" i="1"/>
  <c r="O220" i="1"/>
  <c r="E177" i="1"/>
  <c r="O221" i="1"/>
  <c r="O41" i="1"/>
  <c r="O106" i="1"/>
  <c r="O113" i="1"/>
  <c r="O40" i="1"/>
  <c r="O98" i="1"/>
  <c r="O112" i="1"/>
  <c r="O35" i="1"/>
  <c r="O87" i="1"/>
  <c r="O36" i="1"/>
  <c r="O88" i="1"/>
  <c r="O37" i="1"/>
  <c r="O89" i="1"/>
  <c r="O90" i="1"/>
  <c r="O111" i="1"/>
  <c r="O29" i="1"/>
  <c r="O81" i="1"/>
  <c r="O30" i="1"/>
  <c r="O82" i="1"/>
  <c r="O31" i="1"/>
  <c r="O83" i="1"/>
  <c r="O32" i="1"/>
  <c r="O84" i="1"/>
  <c r="O85" i="1"/>
  <c r="O110" i="1"/>
  <c r="O21" i="1"/>
  <c r="O75" i="1"/>
  <c r="O22" i="1"/>
  <c r="O76" i="1"/>
  <c r="O23" i="1"/>
  <c r="O77" i="1"/>
  <c r="O24" i="1"/>
  <c r="O78" i="1"/>
  <c r="O79" i="1"/>
  <c r="O109" i="1"/>
  <c r="C221" i="1"/>
  <c r="C220" i="1"/>
  <c r="N16" i="1"/>
  <c r="M16" i="1"/>
  <c r="L16" i="1"/>
  <c r="K16" i="1"/>
  <c r="J16" i="1"/>
  <c r="I16" i="1"/>
  <c r="H16" i="1"/>
  <c r="G16" i="1"/>
  <c r="F16" i="1"/>
  <c r="B9" i="1"/>
  <c r="C9" i="1"/>
  <c r="D9" i="1"/>
  <c r="O9" i="1"/>
  <c r="N9" i="1"/>
  <c r="M9" i="1"/>
  <c r="L9" i="1"/>
  <c r="K9" i="1"/>
  <c r="J9" i="1"/>
  <c r="I9" i="1"/>
  <c r="H9" i="1"/>
  <c r="G9" i="1"/>
  <c r="O8" i="1"/>
  <c r="N8" i="1"/>
  <c r="M8" i="1"/>
  <c r="L8" i="1"/>
  <c r="K8" i="1"/>
  <c r="J8" i="1"/>
  <c r="I8" i="1"/>
  <c r="H8" i="1"/>
  <c r="G8" i="1"/>
  <c r="F9" i="1"/>
  <c r="F8" i="1"/>
  <c r="E16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95" i="1"/>
  <c r="E103" i="1"/>
  <c r="E114" i="1"/>
  <c r="F114" i="1"/>
  <c r="G114" i="1"/>
  <c r="H114" i="1"/>
  <c r="I114" i="1"/>
  <c r="J114" i="1"/>
  <c r="K114" i="1"/>
  <c r="L114" i="1"/>
  <c r="M114" i="1"/>
  <c r="N114" i="1"/>
  <c r="O114" i="1"/>
  <c r="O116" i="1"/>
  <c r="O117" i="1"/>
  <c r="O118" i="1"/>
  <c r="O119" i="1"/>
  <c r="O120" i="1"/>
  <c r="O121" i="1"/>
  <c r="N148" i="1"/>
  <c r="O148" i="1"/>
  <c r="B149" i="1"/>
  <c r="C149" i="1"/>
  <c r="N149" i="1"/>
  <c r="O149" i="1"/>
  <c r="C150" i="1"/>
  <c r="D150" i="1"/>
  <c r="N150" i="1"/>
  <c r="O150" i="1"/>
  <c r="D151" i="1"/>
  <c r="N151" i="1"/>
  <c r="O151" i="1"/>
  <c r="B152" i="1"/>
  <c r="C152" i="1"/>
  <c r="D152" i="1"/>
  <c r="F152" i="1"/>
  <c r="G152" i="1"/>
  <c r="H152" i="1"/>
  <c r="I152" i="1"/>
  <c r="J152" i="1"/>
  <c r="K152" i="1"/>
  <c r="L152" i="1"/>
  <c r="M152" i="1"/>
  <c r="N152" i="1"/>
  <c r="O152" i="1"/>
  <c r="N153" i="1"/>
  <c r="O153" i="1"/>
  <c r="E155" i="1"/>
  <c r="E156" i="1"/>
  <c r="E160" i="1"/>
  <c r="E161" i="1"/>
  <c r="F172" i="1"/>
  <c r="G172" i="1"/>
  <c r="H172" i="1"/>
  <c r="I172" i="1"/>
  <c r="J172" i="1"/>
  <c r="K172" i="1"/>
  <c r="L172" i="1"/>
  <c r="M172" i="1"/>
  <c r="N172" i="1"/>
  <c r="O172" i="1"/>
  <c r="F173" i="1"/>
  <c r="G173" i="1"/>
  <c r="H173" i="1"/>
  <c r="I173" i="1"/>
  <c r="J173" i="1"/>
  <c r="K173" i="1"/>
  <c r="L173" i="1"/>
  <c r="M173" i="1"/>
  <c r="N173" i="1"/>
  <c r="O173" i="1"/>
  <c r="E174" i="1"/>
  <c r="E175" i="1"/>
</calcChain>
</file>

<file path=xl/sharedStrings.xml><?xml version="1.0" encoding="utf-8"?>
<sst xmlns="http://schemas.openxmlformats.org/spreadsheetml/2006/main" count="245" uniqueCount="168">
  <si>
    <t>Required Educational Inputs:</t>
  </si>
  <si>
    <t>Teacher I-O</t>
  </si>
  <si>
    <t xml:space="preserve">Required </t>
  </si>
  <si>
    <t>Coefficients:</t>
  </si>
  <si>
    <t>Teachers:</t>
  </si>
  <si>
    <t>P-A</t>
  </si>
  <si>
    <t>P-B</t>
  </si>
  <si>
    <t>P-C</t>
  </si>
  <si>
    <t>P-D</t>
  </si>
  <si>
    <t>Total Teachers:</t>
  </si>
  <si>
    <t>Student/Teacher Ratio:</t>
  </si>
  <si>
    <t>Administrative I-O Coefficients:</t>
  </si>
  <si>
    <t>A-1</t>
  </si>
  <si>
    <t>Central</t>
  </si>
  <si>
    <t>A-2</t>
  </si>
  <si>
    <t>Technical</t>
  </si>
  <si>
    <t>A-3</t>
  </si>
  <si>
    <t>Clerical</t>
  </si>
  <si>
    <t>A-4</t>
  </si>
  <si>
    <t>Mainten.</t>
  </si>
  <si>
    <t>Materiel I-O Coefficients:</t>
  </si>
  <si>
    <t>M-1</t>
  </si>
  <si>
    <t>Equipment</t>
  </si>
  <si>
    <t>M-2</t>
  </si>
  <si>
    <t>Supplies</t>
  </si>
  <si>
    <t>M-3</t>
  </si>
  <si>
    <t>Repairs</t>
  </si>
  <si>
    <t>Classroom Space Coefficients:</t>
  </si>
  <si>
    <t>Lecture Classes:</t>
  </si>
  <si>
    <t>Laboratories:</t>
  </si>
  <si>
    <t xml:space="preserve">     Students per lecture class:</t>
  </si>
  <si>
    <t xml:space="preserve">     Students per lab class:</t>
  </si>
  <si>
    <t>Financial Projections:</t>
  </si>
  <si>
    <t>Teacher Inputs:</t>
  </si>
  <si>
    <t>Total:</t>
  </si>
  <si>
    <t>Administrative Inputs:</t>
  </si>
  <si>
    <t>Material Inputs:</t>
  </si>
  <si>
    <t>Classroom Expenditures:</t>
  </si>
  <si>
    <t>Interest Rate:</t>
  </si>
  <si>
    <t>Maturity:</t>
  </si>
  <si>
    <t>Years</t>
  </si>
  <si>
    <t>Enrollments:</t>
  </si>
  <si>
    <t>Base Enroll</t>
  </si>
  <si>
    <t>Simulation</t>
  </si>
  <si>
    <t>Reference</t>
  </si>
  <si>
    <t>E-Growth Rate</t>
  </si>
  <si>
    <t>Base Cohort</t>
  </si>
  <si>
    <t>Growth Rate:</t>
  </si>
  <si>
    <t>Model Control Panel</t>
  </si>
  <si>
    <t>Professor Coef</t>
  </si>
  <si>
    <t>Assoc Coef</t>
  </si>
  <si>
    <t>Assist Coef</t>
  </si>
  <si>
    <t>Instruct Coef</t>
  </si>
  <si>
    <t>Central Coef</t>
  </si>
  <si>
    <t>Tech Coef</t>
  </si>
  <si>
    <t>Cleric Coef</t>
  </si>
  <si>
    <t>Mainten Coef</t>
  </si>
  <si>
    <t>Equip Coef</t>
  </si>
  <si>
    <t>Supply Coef</t>
  </si>
  <si>
    <t>Repair Coef</t>
  </si>
  <si>
    <t>Lecture Coef</t>
  </si>
  <si>
    <t>Lab Coef</t>
  </si>
  <si>
    <t>Prof Price</t>
  </si>
  <si>
    <t>Assoc Pr Price</t>
  </si>
  <si>
    <t>Asst Pr Price</t>
  </si>
  <si>
    <t>Inst Price</t>
  </si>
  <si>
    <t>Central Price</t>
  </si>
  <si>
    <t>Tech Price</t>
  </si>
  <si>
    <t>Clerical Price</t>
  </si>
  <si>
    <t>Mainten Price</t>
  </si>
  <si>
    <t>Equip Price</t>
  </si>
  <si>
    <t>Supply Price</t>
  </si>
  <si>
    <t>Repair Price</t>
  </si>
  <si>
    <t>Interest Rate</t>
  </si>
  <si>
    <t>Maturity</t>
  </si>
  <si>
    <t>Class CapCost</t>
  </si>
  <si>
    <t>Lab Int.Rate</t>
  </si>
  <si>
    <t>Lab Int.Maturity</t>
  </si>
  <si>
    <t>Cap Cost Lab</t>
  </si>
  <si>
    <t>© 2007, 1999</t>
  </si>
  <si>
    <t>Educational Forecasting Model</t>
  </si>
  <si>
    <t>Yr 4 Ben</t>
  </si>
  <si>
    <t>Yr 5 Ben</t>
  </si>
  <si>
    <t>Yr 6 Ben</t>
  </si>
  <si>
    <t>Yr 7 Ben</t>
  </si>
  <si>
    <t>Yr 8 Ben</t>
  </si>
  <si>
    <t>Yr 9 Ben</t>
  </si>
  <si>
    <t>Yr 10 Ben</t>
  </si>
  <si>
    <t>Capital Cost per student place:</t>
  </si>
  <si>
    <t>Capital Cost per Class</t>
  </si>
  <si>
    <t>Unit Payment:</t>
  </si>
  <si>
    <t>Total Unit Payment:</t>
  </si>
  <si>
    <t>Laboratory Expenditures:</t>
  </si>
  <si>
    <t>Capital Cost per Lab:</t>
  </si>
  <si>
    <t>Projected Budget Totals:</t>
  </si>
  <si>
    <t xml:space="preserve">     Teachers:</t>
  </si>
  <si>
    <t xml:space="preserve">     Administration</t>
  </si>
  <si>
    <t xml:space="preserve">     Materiel</t>
  </si>
  <si>
    <t xml:space="preserve">     Capital Classes</t>
  </si>
  <si>
    <t xml:space="preserve">     Capital Laboratories</t>
  </si>
  <si>
    <t xml:space="preserve">     Total:</t>
  </si>
  <si>
    <t>Unit Costs:</t>
  </si>
  <si>
    <t>Pedagogical Efficiency:</t>
  </si>
  <si>
    <t>Pupil-Places:</t>
  </si>
  <si>
    <t>Graduate Pupil-Places:</t>
  </si>
  <si>
    <t>Graduates:</t>
  </si>
  <si>
    <t>Average Graduation Years:</t>
  </si>
  <si>
    <t>Gross Pedagogical Efficiency:</t>
  </si>
  <si>
    <t xml:space="preserve"> = Graduates divided by initial student cohort</t>
  </si>
  <si>
    <t>Graduate Pedag. Efficiency:</t>
  </si>
  <si>
    <t xml:space="preserve"> = Ratio of graduates to graduate-producing pupil places</t>
  </si>
  <si>
    <t>Net Pedag. Efficiency:</t>
  </si>
  <si>
    <t xml:space="preserve"> = Graduates divided by number of total pupil places</t>
  </si>
  <si>
    <t>Estimated Rate of Return to Education</t>
  </si>
  <si>
    <t>Year:</t>
  </si>
  <si>
    <t>System Annual Unit Enrollment Cost</t>
  </si>
  <si>
    <t>Enrollment Factor</t>
  </si>
  <si>
    <t>Estimated Annual Unit Cost</t>
  </si>
  <si>
    <t>Estimated Annual Benefit Stream</t>
  </si>
  <si>
    <t>Estimated Cash Flow</t>
  </si>
  <si>
    <t>Discount Rate:</t>
  </si>
  <si>
    <t>Annualized PV of Costs:</t>
  </si>
  <si>
    <t xml:space="preserve"> P. LeBel</t>
  </si>
  <si>
    <t>Annualized PV of Benefits:</t>
  </si>
  <si>
    <t>PV of Benefits:</t>
  </si>
  <si>
    <t>PV of Costs:</t>
  </si>
  <si>
    <t>NPV:</t>
  </si>
  <si>
    <t>IRR:</t>
  </si>
  <si>
    <t>Professor</t>
  </si>
  <si>
    <t>Associate</t>
  </si>
  <si>
    <t>Assistant</t>
  </si>
  <si>
    <t>Instructor</t>
  </si>
  <si>
    <t>Financial Sub-Model</t>
  </si>
  <si>
    <t>Technical Efficiency and Rate of Return Sub-Model</t>
  </si>
  <si>
    <t>Educational Scenarios</t>
  </si>
  <si>
    <t>Ed(r) =</t>
  </si>
  <si>
    <t>Pop(r)=</t>
  </si>
  <si>
    <t>Av.Yrs.Gr.</t>
  </si>
  <si>
    <t>Net.Ped.E.</t>
  </si>
  <si>
    <t>Yr.10En.Ratio</t>
  </si>
  <si>
    <t>Year 10 Pop.</t>
  </si>
  <si>
    <t>System:</t>
  </si>
  <si>
    <t>Enrollment:</t>
  </si>
  <si>
    <t>E-1</t>
  </si>
  <si>
    <t>E-2</t>
  </si>
  <si>
    <t>E-3</t>
  </si>
  <si>
    <t>t-0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</si>
  <si>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</si>
  <si>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</si>
  <si>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</si>
  <si>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</si>
  <si>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</si>
  <si>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</si>
  <si>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</si>
  <si>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</si>
  <si>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</si>
  <si>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</si>
  <si>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Gi=</t>
  </si>
  <si>
    <t>Graduates</t>
  </si>
  <si>
    <t>Di=</t>
  </si>
  <si>
    <t>Dropouts</t>
  </si>
  <si>
    <t xml:space="preserve">    Enrollments:</t>
  </si>
  <si>
    <t>Educational Cohort Projection:</t>
  </si>
  <si>
    <t xml:space="preserve"> </t>
  </si>
  <si>
    <t>Base Year Cohort:</t>
  </si>
  <si>
    <t>Ed. Cohort Growth Rate:</t>
  </si>
  <si>
    <t>Projected Ed. Cohort:</t>
  </si>
  <si>
    <t>School Enrollment Ratio: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</si>
</sst>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164" formatCode="0.0000"/>
    <numFmt numFmtId="165" formatCode="0.00000"/>
    <numFmt numFmtId="168" formatCode="&quot;$&quot;###0\ ;\(&quot;$&quot;#,##0\)"/>
    <numFmt numFmtId="169" formatCode="&quot;$&quot;#,###;\(&quot;$&quot;#,##0\)"/>
    <numFmt numFmtId="170" formatCode="&quot;$&quot;#,##0"/>
    <numFmt numFmtId="171" formatCode="&quot;$&quot;0.00E+0"/>
    <numFmt numFmtId="172" formatCode="&quot;$&quot;0.00E+0\ "/>
  </numFmts>
  <fonts count="6">
    <font>
      <sz val="10"/>
      <name val="Geneva"/>
    </font>
    <font>
      <b/>
      <sz val="12"/>
      <color indexed="12"/>
      <name val="Helv"/>
    </font>
    <font>
      <sz val="12"/>
      <name val="Helv"/>
    </font>
    <font>
      <b/>
      <sz val="12"/>
      <name val="Helv"/>
    </font>
    <font>
      <b/>
      <sz val="12"/>
      <color indexed="12"/>
      <name val="Geneva"/>
      <family val="2"/>
    </font>
    <font>
      <b/>
      <i/>
      <sz val="12"/>
      <name val="Helv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0" fontId="3" fillId="0" borderId="7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0" fontId="2" fillId="0" borderId="12" xfId="0" applyFont="1" applyBorder="1"/>
    <xf numFmtId="1" fontId="2" fillId="0" borderId="12" xfId="0" applyNumberFormat="1" applyFont="1" applyBorder="1"/>
    <xf numFmtId="2" fontId="2" fillId="0" borderId="13" xfId="0" applyNumberFormat="1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0" fontId="2" fillId="0" borderId="16" xfId="0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2" fillId="0" borderId="15" xfId="0" applyNumberFormat="1" applyFont="1" applyBorder="1"/>
    <xf numFmtId="1" fontId="2" fillId="0" borderId="17" xfId="0" applyNumberFormat="1" applyFont="1" applyBorder="1"/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20" xfId="0" applyNumberFormat="1" applyFont="1" applyBorder="1"/>
    <xf numFmtId="0" fontId="2" fillId="0" borderId="21" xfId="0" applyFont="1" applyBorder="1"/>
    <xf numFmtId="1" fontId="2" fillId="0" borderId="21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1" fontId="2" fillId="0" borderId="8" xfId="0" applyNumberFormat="1" applyFont="1" applyBorder="1"/>
    <xf numFmtId="10" fontId="3" fillId="0" borderId="8" xfId="0" applyNumberFormat="1" applyFont="1" applyBorder="1"/>
    <xf numFmtId="10" fontId="2" fillId="0" borderId="8" xfId="0" applyNumberFormat="1" applyFont="1" applyBorder="1"/>
    <xf numFmtId="164" fontId="3" fillId="0" borderId="8" xfId="0" applyNumberFormat="1" applyFont="1" applyBorder="1"/>
    <xf numFmtId="164" fontId="2" fillId="0" borderId="8" xfId="0" applyNumberFormat="1" applyFont="1" applyBorder="1"/>
    <xf numFmtId="0" fontId="3" fillId="0" borderId="5" xfId="0" applyFont="1" applyBorder="1" applyAlignment="1">
      <alignment horizontal="right"/>
    </xf>
    <xf numFmtId="2" fontId="3" fillId="0" borderId="0" xfId="0" applyNumberFormat="1" applyFont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2" fillId="0" borderId="8" xfId="0" applyNumberFormat="1" applyFont="1" applyBorder="1"/>
    <xf numFmtId="165" fontId="3" fillId="0" borderId="8" xfId="0" applyNumberFormat="1" applyFont="1" applyBorder="1"/>
    <xf numFmtId="165" fontId="2" fillId="0" borderId="8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2" fontId="2" fillId="0" borderId="12" xfId="0" applyNumberFormat="1" applyFont="1" applyBorder="1" applyAlignment="1">
      <alignment horizontal="center"/>
    </xf>
    <xf numFmtId="2" fontId="2" fillId="0" borderId="24" xfId="0" applyNumberFormat="1" applyFont="1" applyBorder="1"/>
    <xf numFmtId="2" fontId="2" fillId="0" borderId="7" xfId="0" applyNumberFormat="1" applyFont="1" applyBorder="1"/>
    <xf numFmtId="2" fontId="2" fillId="0" borderId="2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right"/>
    </xf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17" xfId="0" applyNumberFormat="1" applyFont="1" applyBorder="1"/>
    <xf numFmtId="2" fontId="2" fillId="0" borderId="27" xfId="0" applyNumberFormat="1" applyFont="1" applyBorder="1"/>
    <xf numFmtId="5" fontId="3" fillId="0" borderId="8" xfId="0" applyNumberFormat="1" applyFont="1" applyBorder="1" applyAlignment="1"/>
    <xf numFmtId="5" fontId="2" fillId="0" borderId="8" xfId="0" applyNumberFormat="1" applyFont="1" applyBorder="1" applyAlignment="1"/>
    <xf numFmtId="164" fontId="2" fillId="0" borderId="12" xfId="0" applyNumberFormat="1" applyFont="1" applyBorder="1"/>
    <xf numFmtId="2" fontId="2" fillId="0" borderId="12" xfId="0" applyNumberFormat="1" applyFont="1" applyBorder="1" applyAlignment="1">
      <alignment horizontal="right"/>
    </xf>
    <xf numFmtId="2" fontId="2" fillId="0" borderId="28" xfId="0" applyNumberFormat="1" applyFont="1" applyBorder="1"/>
    <xf numFmtId="2" fontId="2" fillId="0" borderId="29" xfId="0" applyNumberFormat="1" applyFont="1" applyBorder="1"/>
    <xf numFmtId="0" fontId="2" fillId="0" borderId="5" xfId="0" applyFont="1" applyBorder="1"/>
    <xf numFmtId="5" fontId="3" fillId="0" borderId="8" xfId="0" applyNumberFormat="1" applyFont="1" applyBorder="1" applyAlignment="1">
      <alignment horizontal="right"/>
    </xf>
    <xf numFmtId="5" fontId="2" fillId="0" borderId="8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5" fontId="2" fillId="0" borderId="8" xfId="0" applyNumberFormat="1" applyFont="1" applyBorder="1"/>
    <xf numFmtId="170" fontId="2" fillId="0" borderId="8" xfId="0" applyNumberFormat="1" applyFont="1" applyBorder="1"/>
    <xf numFmtId="2" fontId="2" fillId="0" borderId="23" xfId="0" applyNumberFormat="1" applyFont="1" applyBorder="1" applyAlignment="1">
      <alignment horizontal="right"/>
    </xf>
    <xf numFmtId="165" fontId="2" fillId="0" borderId="12" xfId="0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171" fontId="2" fillId="0" borderId="26" xfId="0" applyNumberFormat="1" applyFont="1" applyBorder="1"/>
    <xf numFmtId="171" fontId="2" fillId="0" borderId="27" xfId="0" applyNumberFormat="1" applyFont="1" applyBorder="1"/>
    <xf numFmtId="171" fontId="2" fillId="0" borderId="29" xfId="0" applyNumberFormat="1" applyFont="1" applyBorder="1"/>
    <xf numFmtId="2" fontId="3" fillId="0" borderId="0" xfId="0" applyNumberFormat="1" applyFont="1" applyAlignment="1">
      <alignment horizontal="right"/>
    </xf>
    <xf numFmtId="171" fontId="2" fillId="0" borderId="8" xfId="0" applyNumberFormat="1" applyFont="1" applyBorder="1"/>
    <xf numFmtId="170" fontId="2" fillId="0" borderId="26" xfId="0" applyNumberFormat="1" applyFont="1" applyBorder="1"/>
    <xf numFmtId="170" fontId="2" fillId="0" borderId="27" xfId="0" applyNumberFormat="1" applyFont="1" applyBorder="1"/>
    <xf numFmtId="170" fontId="2" fillId="0" borderId="29" xfId="0" applyNumberFormat="1" applyFont="1" applyBorder="1"/>
    <xf numFmtId="172" fontId="2" fillId="0" borderId="8" xfId="0" applyNumberFormat="1" applyFont="1" applyBorder="1"/>
    <xf numFmtId="171" fontId="2" fillId="0" borderId="12" xfId="0" applyNumberFormat="1" applyFont="1" applyBorder="1"/>
    <xf numFmtId="168" fontId="2" fillId="0" borderId="8" xfId="0" applyNumberFormat="1" applyFont="1" applyBorder="1"/>
    <xf numFmtId="168" fontId="2" fillId="0" borderId="0" xfId="0" applyNumberFormat="1" applyFont="1"/>
    <xf numFmtId="168" fontId="2" fillId="0" borderId="2" xfId="0" applyNumberFormat="1" applyFont="1" applyBorder="1"/>
    <xf numFmtId="168" fontId="1" fillId="0" borderId="1" xfId="0" applyNumberFormat="1" applyFont="1" applyBorder="1"/>
    <xf numFmtId="168" fontId="1" fillId="0" borderId="1" xfId="0" applyNumberFormat="1" applyFont="1" applyBorder="1" applyAlignment="1">
      <alignment horizontal="center"/>
    </xf>
    <xf numFmtId="168" fontId="2" fillId="0" borderId="3" xfId="0" applyNumberFormat="1" applyFont="1" applyBorder="1"/>
    <xf numFmtId="0" fontId="2" fillId="0" borderId="9" xfId="0" applyFont="1" applyBorder="1"/>
    <xf numFmtId="1" fontId="2" fillId="0" borderId="11" xfId="0" applyNumberFormat="1" applyFont="1" applyBorder="1"/>
    <xf numFmtId="1" fontId="2" fillId="0" borderId="26" xfId="0" applyNumberFormat="1" applyFont="1" applyBorder="1"/>
    <xf numFmtId="0" fontId="2" fillId="0" borderId="13" xfId="0" applyFont="1" applyBorder="1"/>
    <xf numFmtId="1" fontId="2" fillId="0" borderId="27" xfId="0" applyNumberFormat="1" applyFont="1" applyBorder="1"/>
    <xf numFmtId="0" fontId="2" fillId="0" borderId="30" xfId="0" applyFont="1" applyBorder="1"/>
    <xf numFmtId="1" fontId="2" fillId="0" borderId="20" xfId="0" applyNumberFormat="1" applyFont="1" applyBorder="1"/>
    <xf numFmtId="1" fontId="2" fillId="0" borderId="29" xfId="0" applyNumberFormat="1" applyFont="1" applyBorder="1"/>
    <xf numFmtId="2" fontId="2" fillId="0" borderId="31" xfId="0" applyNumberFormat="1" applyFont="1" applyBorder="1"/>
    <xf numFmtId="2" fontId="2" fillId="0" borderId="32" xfId="0" applyNumberFormat="1" applyFont="1" applyBorder="1"/>
    <xf numFmtId="2" fontId="2" fillId="0" borderId="33" xfId="0" applyNumberFormat="1" applyFont="1" applyBorder="1"/>
    <xf numFmtId="0" fontId="3" fillId="0" borderId="0" xfId="0" applyFont="1"/>
    <xf numFmtId="1" fontId="2" fillId="0" borderId="0" xfId="0" applyNumberFormat="1" applyFont="1"/>
    <xf numFmtId="0" fontId="2" fillId="0" borderId="4" xfId="0" applyFont="1" applyBorder="1"/>
    <xf numFmtId="168" fontId="2" fillId="0" borderId="0" xfId="0" applyNumberFormat="1" applyFont="1" applyAlignment="1">
      <alignment horizontal="right"/>
    </xf>
    <xf numFmtId="2" fontId="2" fillId="0" borderId="34" xfId="0" applyNumberFormat="1" applyFont="1" applyBorder="1"/>
    <xf numFmtId="0" fontId="2" fillId="0" borderId="34" xfId="0" applyFont="1" applyBorder="1"/>
    <xf numFmtId="2" fontId="2" fillId="0" borderId="35" xfId="0" applyNumberFormat="1" applyFont="1" applyBorder="1"/>
    <xf numFmtId="0" fontId="2" fillId="0" borderId="35" xfId="0" applyFont="1" applyBorder="1"/>
    <xf numFmtId="169" fontId="2" fillId="0" borderId="0" xfId="0" applyNumberFormat="1" applyFont="1" applyAlignment="1">
      <alignment horizontal="right"/>
    </xf>
    <xf numFmtId="169" fontId="2" fillId="0" borderId="0" xfId="0" applyNumberFormat="1" applyFont="1"/>
    <xf numFmtId="169" fontId="2" fillId="0" borderId="22" xfId="0" applyNumberFormat="1" applyFont="1" applyBorder="1"/>
    <xf numFmtId="169" fontId="2" fillId="0" borderId="23" xfId="0" applyNumberFormat="1" applyFont="1" applyBorder="1"/>
    <xf numFmtId="169" fontId="2" fillId="0" borderId="8" xfId="0" applyNumberFormat="1" applyFont="1" applyBorder="1"/>
    <xf numFmtId="168" fontId="2" fillId="0" borderId="24" xfId="0" applyNumberFormat="1" applyFont="1" applyBorder="1"/>
    <xf numFmtId="168" fontId="2" fillId="0" borderId="35" xfId="0" applyNumberFormat="1" applyFont="1" applyBorder="1"/>
    <xf numFmtId="168" fontId="2" fillId="0" borderId="7" xfId="0" applyNumberFormat="1" applyFont="1" applyBorder="1"/>
    <xf numFmtId="168" fontId="2" fillId="0" borderId="4" xfId="0" applyNumberFormat="1" applyFont="1" applyBorder="1"/>
    <xf numFmtId="168" fontId="2" fillId="0" borderId="5" xfId="0" applyNumberFormat="1" applyFont="1" applyBorder="1"/>
    <xf numFmtId="168" fontId="2" fillId="0" borderId="6" xfId="0" applyNumberFormat="1" applyFont="1" applyBorder="1"/>
    <xf numFmtId="10" fontId="2" fillId="0" borderId="0" xfId="0" applyNumberFormat="1" applyFont="1" applyBorder="1"/>
    <xf numFmtId="0" fontId="2" fillId="0" borderId="4" xfId="0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70" fontId="2" fillId="0" borderId="6" xfId="0" applyNumberFormat="1" applyFont="1" applyBorder="1"/>
    <xf numFmtId="3" fontId="2" fillId="0" borderId="6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Production of Graduates and Dropouts</a:t>
            </a:r>
          </a:p>
        </c:rich>
      </c:tx>
      <c:layout>
        <c:manualLayout>
          <c:xMode val="edge"/>
          <c:yMode val="edge"/>
          <c:x val="0.19786708979157439"/>
          <c:y val="3.448389626354123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695518367112129"/>
          <c:y val="0.16207431243864384"/>
          <c:w val="0.83157655304296807"/>
          <c:h val="0.66553919788634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'Ed.Forecasting Model'!$E$8</c:f>
              <c:strCache>
                <c:ptCount val="1"/>
                <c:pt idx="0">
                  <c:v>Graduates</c:v>
                </c:pt>
              </c:strCache>
            </c:strRef>
          </c:tx>
          <c:spPr>
            <a:solidFill>
              <a:srgbClr val="00CC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Model'!$F$8:$O$8</c:f>
              <c:numCache>
                <c:formatCode>0</c:formatCode>
                <c:ptCount val="10"/>
                <c:pt idx="0">
                  <c:v>37.5</c:v>
                </c:pt>
                <c:pt idx="1">
                  <c:v>41.25</c:v>
                </c:pt>
                <c:pt idx="2">
                  <c:v>82.875</c:v>
                </c:pt>
                <c:pt idx="3">
                  <c:v>91.162499999999994</c:v>
                </c:pt>
                <c:pt idx="4">
                  <c:v>92.403749999999988</c:v>
                </c:pt>
                <c:pt idx="5">
                  <c:v>92.569125</c:v>
                </c:pt>
                <c:pt idx="6">
                  <c:v>92.5897875</c:v>
                </c:pt>
                <c:pt idx="7">
                  <c:v>92.592266250000009</c:v>
                </c:pt>
                <c:pt idx="8">
                  <c:v>92.592555375000003</c:v>
                </c:pt>
                <c:pt idx="9">
                  <c:v>92.592588412499993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B-E742-B0E7-7F5F5E98B7D0}"/>
            </c:ext>
          </c:extLst>
        </c:ser>
        <c:ser>
          <c:idx val="1"/>
          <c:order val="1"/>
          <c:tx>
            <c:strRef>
              <c:f>'Ed.Forecasting Model'!$E$9</c:f>
              <c:strCache>
                <c:ptCount val="1"/>
                <c:pt idx="0">
                  <c:v>Dropouts</c:v>
                </c:pt>
              </c:strCache>
            </c:strRef>
          </c:tx>
          <c:spPr>
            <a:solidFill>
              <a:srgbClr val="6633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Model'!$F$9:$O$9</c:f>
              <c:numCache>
                <c:formatCode>0</c:formatCode>
                <c:ptCount val="10"/>
                <c:pt idx="0">
                  <c:v>94.999999999999986</c:v>
                </c:pt>
                <c:pt idx="1">
                  <c:v>114.49999999999999</c:v>
                </c:pt>
                <c:pt idx="2">
                  <c:v>149.44999999999999</c:v>
                </c:pt>
                <c:pt idx="3">
                  <c:v>156.245</c:v>
                </c:pt>
                <c:pt idx="4">
                  <c:v>157.25449999999998</c:v>
                </c:pt>
                <c:pt idx="5">
                  <c:v>157.38844999999998</c:v>
                </c:pt>
                <c:pt idx="6">
                  <c:v>157.405145</c:v>
                </c:pt>
                <c:pt idx="7">
                  <c:v>157.40714450000002</c:v>
                </c:pt>
                <c:pt idx="8">
                  <c:v>157.40737745000001</c:v>
                </c:pt>
                <c:pt idx="9">
                  <c:v>157.40740404499999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B-E742-B0E7-7F5F5E98B7D0}"/>
            </c:ext>
          </c:extLst>
        </c:ser>
        <c:ser>
          <c:idx val="2"/>
          <c:order val="2"/>
          <c:tx>
            <c:strRef>
              <c:f>'Ed.Forecasting Model'!$D$10</c:f>
              <c:strCache>
                <c:ptCount val="1"/>
                <c:pt idx="0">
                  <c:v>Enrollments:</c:v>
                </c:pt>
              </c:strCache>
            </c:strRef>
          </c:tx>
          <c:spPr>
            <a:solidFill>
              <a:srgbClr val="339933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Model'!$F$10:$O$10</c:f>
              <c:numCache>
                <c:formatCode>0</c:formatCode>
                <c:ptCount val="10"/>
                <c:pt idx="0">
                  <c:v>542.5</c:v>
                </c:pt>
                <c:pt idx="1">
                  <c:v>636.75</c:v>
                </c:pt>
                <c:pt idx="2">
                  <c:v>654.42499999999995</c:v>
                </c:pt>
                <c:pt idx="3">
                  <c:v>657.01750000000004</c:v>
                </c:pt>
                <c:pt idx="4">
                  <c:v>657.35924999999997</c:v>
                </c:pt>
                <c:pt idx="5">
                  <c:v>657.40167500000007</c:v>
                </c:pt>
                <c:pt idx="6">
                  <c:v>657.40674250000006</c:v>
                </c:pt>
                <c:pt idx="7">
                  <c:v>657.40733175000003</c:v>
                </c:pt>
                <c:pt idx="8">
                  <c:v>657.40739892500005</c:v>
                </c:pt>
                <c:pt idx="9">
                  <c:v>657.4074064675001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B-E742-B0E7-7F5F5E98B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72907391"/>
        <c:axId val="1"/>
      </c:barChart>
      <c:catAx>
        <c:axId val="207290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2907391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95364489291079"/>
          <c:y val="0.91382325098384287"/>
          <c:w val="0.53477591835560645"/>
          <c:h val="5.86226236480201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90"/>
                </a:solidFill>
                <a:latin typeface="Helv"/>
                <a:ea typeface="Helv"/>
                <a:cs typeface="Helv"/>
              </a:defRPr>
            </a:pPr>
            <a:r>
              <a:rPr lang="en-US"/>
              <a:t>Educational Enrollment Projection</a:t>
            </a:r>
          </a:p>
        </c:rich>
      </c:tx>
      <c:layout>
        <c:manualLayout>
          <c:xMode val="edge"/>
          <c:yMode val="edge"/>
          <c:x val="0.25588250293232701"/>
          <c:y val="3.728937001357301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21974603498393E-2"/>
          <c:y val="0.15593736551130533"/>
          <c:w val="0.87731143862512107"/>
          <c:h val="0.68137848842983417"/>
        </c:manualLayout>
      </c:layout>
      <c:barChart>
        <c:barDir val="col"/>
        <c:grouping val="stacked"/>
        <c:varyColors val="0"/>
        <c:ser>
          <c:idx val="0"/>
          <c:order val="0"/>
          <c:tx>
            <c:v>E-1</c:v>
          </c:tx>
          <c:spPr>
            <a:solidFill>
              <a:srgbClr val="0000D4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Model'!$F$5:$O$5</c:f>
              <c:numCache>
                <c:formatCode>0</c:formatCode>
                <c:ptCount val="10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C-504E-B39C-C439747C08C5}"/>
            </c:ext>
          </c:extLst>
        </c:ser>
        <c:ser>
          <c:idx val="1"/>
          <c:order val="1"/>
          <c:tx>
            <c:v>E-2</c:v>
          </c:tx>
          <c:spPr>
            <a:solidFill>
              <a:srgbClr val="DD080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Model'!$F$6:$O$6</c:f>
              <c:numCache>
                <c:formatCode>0</c:formatCode>
                <c:ptCount val="10"/>
                <c:pt idx="0">
                  <c:v>210</c:v>
                </c:pt>
                <c:pt idx="1">
                  <c:v>221</c:v>
                </c:pt>
                <c:pt idx="2">
                  <c:v>222.1</c:v>
                </c:pt>
                <c:pt idx="3">
                  <c:v>222.21</c:v>
                </c:pt>
                <c:pt idx="4">
                  <c:v>222.221</c:v>
                </c:pt>
                <c:pt idx="5">
                  <c:v>222.22210000000001</c:v>
                </c:pt>
                <c:pt idx="6">
                  <c:v>222.22221000000002</c:v>
                </c:pt>
                <c:pt idx="7">
                  <c:v>222.22222099999999</c:v>
                </c:pt>
                <c:pt idx="8">
                  <c:v>222.22222210000001</c:v>
                </c:pt>
                <c:pt idx="9">
                  <c:v>222.22222221000001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C-504E-B39C-C439747C08C5}"/>
            </c:ext>
          </c:extLst>
        </c:ser>
        <c:ser>
          <c:idx val="2"/>
          <c:order val="2"/>
          <c:tx>
            <c:v>E-3</c:v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Model'!$F$7:$O$7</c:f>
              <c:numCache>
                <c:formatCode>0</c:formatCode>
                <c:ptCount val="10"/>
                <c:pt idx="0">
                  <c:v>82.5</c:v>
                </c:pt>
                <c:pt idx="1">
                  <c:v>165.75</c:v>
                </c:pt>
                <c:pt idx="2">
                  <c:v>182.32499999999999</c:v>
                </c:pt>
                <c:pt idx="3">
                  <c:v>184.80749999999998</c:v>
                </c:pt>
                <c:pt idx="4">
                  <c:v>185.13825</c:v>
                </c:pt>
                <c:pt idx="5">
                  <c:v>185.179575</c:v>
                </c:pt>
                <c:pt idx="6">
                  <c:v>185.18453250000002</c:v>
                </c:pt>
                <c:pt idx="7">
                  <c:v>185.18511075000001</c:v>
                </c:pt>
                <c:pt idx="8">
                  <c:v>185.18517682499999</c:v>
                </c:pt>
                <c:pt idx="9">
                  <c:v>185.18518425750003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C-504E-B39C-C439747C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7055359"/>
        <c:axId val="1"/>
      </c:barChart>
      <c:catAx>
        <c:axId val="207705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7055359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204701922586567"/>
          <c:y val="0.91867447942529878"/>
          <c:w val="0.38904584629506861"/>
          <c:h val="4.74591981990929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Educational Enrollment Ratio</a:t>
            </a:r>
          </a:p>
        </c:rich>
      </c:tx>
      <c:layout>
        <c:manualLayout>
          <c:xMode val="edge"/>
          <c:yMode val="edge"/>
          <c:x val="0.27677087051863941"/>
          <c:y val="3.557435406947898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444183793156203"/>
          <c:y val="0.17391906433967505"/>
          <c:w val="0.86425620888367582"/>
          <c:h val="0.64824378526606152"/>
        </c:manualLayout>
      </c:layout>
      <c:lineChart>
        <c:grouping val="standard"/>
        <c:varyColors val="0"/>
        <c:ser>
          <c:idx val="0"/>
          <c:order val="0"/>
          <c:tx>
            <c:v>Enrollment Ratio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Model'!$E$16:$N$16</c:f>
              <c:numCache>
                <c:formatCode>0.00</c:formatCode>
                <c:ptCount val="10"/>
                <c:pt idx="0">
                  <c:v>0.21249999999999999</c:v>
                </c:pt>
                <c:pt idx="1">
                  <c:v>0.26593137254901961</c:v>
                </c:pt>
                <c:pt idx="2">
                  <c:v>0.30601211072664358</c:v>
                </c:pt>
                <c:pt idx="3">
                  <c:v>0.30833964689297477</c:v>
                </c:pt>
                <c:pt idx="4">
                  <c:v>0.30349130609718766</c:v>
                </c:pt>
                <c:pt idx="5">
                  <c:v>0.29769526292584308</c:v>
                </c:pt>
                <c:pt idx="6">
                  <c:v>0.29187693700063394</c:v>
                </c:pt>
                <c:pt idx="7">
                  <c:v>0.28615606558639561</c:v>
                </c:pt>
                <c:pt idx="8">
                  <c:v>0.28054541379920411</c:v>
                </c:pt>
                <c:pt idx="9">
                  <c:v>0.27504455143707057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15-F24A-890A-9E36BC4AE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911599"/>
        <c:axId val="1"/>
      </c:lineChart>
      <c:catAx>
        <c:axId val="20739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3911599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332551379468609"/>
          <c:y val="0.91702779379101396"/>
          <c:w val="0.37076852465704524"/>
          <c:h val="5.92905901157983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Required Instructor Inputs by Qualification Level</a:t>
            </a:r>
          </a:p>
        </c:rich>
      </c:tx>
      <c:layout>
        <c:manualLayout>
          <c:xMode val="edge"/>
          <c:yMode val="edge"/>
          <c:x val="0.17426853761195846"/>
          <c:y val="3.600114920660614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64744911597124"/>
          <c:y val="0.1560049798952933"/>
          <c:w val="0.82308370841340373"/>
          <c:h val="0.65602094109815634"/>
        </c:manualLayout>
      </c:layout>
      <c:barChart>
        <c:barDir val="col"/>
        <c:grouping val="stacked"/>
        <c:varyColors val="0"/>
        <c:ser>
          <c:idx val="0"/>
          <c:order val="0"/>
          <c:tx>
            <c:v>Instructor</c:v>
          </c:tx>
          <c:spPr>
            <a:solidFill>
              <a:srgbClr val="0000D4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Model'!$E$21:$N$21</c:f>
              <c:numCache>
                <c:formatCode>0.00</c:formatCode>
                <c:ptCount val="10"/>
                <c:pt idx="0">
                  <c:v>2.628625</c:v>
                </c:pt>
                <c:pt idx="1">
                  <c:v>3.3553625</c:v>
                </c:pt>
                <c:pt idx="2">
                  <c:v>3.9382987500000004</c:v>
                </c:pt>
                <c:pt idx="3">
                  <c:v>4.0476186250000001</c:v>
                </c:pt>
                <c:pt idx="4">
                  <c:v>4.0636532375000005</c:v>
                </c:pt>
                <c:pt idx="5">
                  <c:v>4.0657669612500005</c:v>
                </c:pt>
                <c:pt idx="6">
                  <c:v>4.0660293598750004</c:v>
                </c:pt>
                <c:pt idx="7">
                  <c:v>4.0660607023625008</c:v>
                </c:pt>
                <c:pt idx="8">
                  <c:v>4.0660643468737501</c:v>
                </c:pt>
                <c:pt idx="9">
                  <c:v>4.0660647623511252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E-BA4B-847F-6638DAF3FA23}"/>
            </c:ext>
          </c:extLst>
        </c:ser>
        <c:ser>
          <c:idx val="1"/>
          <c:order val="1"/>
          <c:tx>
            <c:v>Assistant Professor</c:v>
          </c:tx>
          <c:spPr>
            <a:solidFill>
              <a:srgbClr val="DD080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Model'!$E$22:$N$22</c:f>
              <c:numCache>
                <c:formatCode>0.00</c:formatCode>
                <c:ptCount val="10"/>
                <c:pt idx="0">
                  <c:v>2.4390749999999999</c:v>
                </c:pt>
                <c:pt idx="1">
                  <c:v>3.1134075000000001</c:v>
                </c:pt>
                <c:pt idx="2">
                  <c:v>3.6543082500000001</c:v>
                </c:pt>
                <c:pt idx="3">
                  <c:v>3.7557450749999997</c:v>
                </c:pt>
                <c:pt idx="4">
                  <c:v>3.7706234325000003</c:v>
                </c:pt>
                <c:pt idx="5">
                  <c:v>3.7725847357499998</c:v>
                </c:pt>
                <c:pt idx="6">
                  <c:v>3.7728282128250004</c:v>
                </c:pt>
                <c:pt idx="7">
                  <c:v>3.7728572952075003</c:v>
                </c:pt>
                <c:pt idx="8">
                  <c:v>3.7728606769132504</c:v>
                </c:pt>
                <c:pt idx="9">
                  <c:v>3.7728610624305756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E-BA4B-847F-6638DAF3FA23}"/>
            </c:ext>
          </c:extLst>
        </c:ser>
        <c:ser>
          <c:idx val="2"/>
          <c:order val="2"/>
          <c:tx>
            <c:v>Associate Professor</c:v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Model'!$E$23:$N$23</c:f>
              <c:numCache>
                <c:formatCode>0.00</c:formatCode>
                <c:ptCount val="10"/>
                <c:pt idx="0">
                  <c:v>4.3507249999999997</c:v>
                </c:pt>
                <c:pt idx="1">
                  <c:v>5.5535724999999996</c:v>
                </c:pt>
                <c:pt idx="2">
                  <c:v>6.51840975</c:v>
                </c:pt>
                <c:pt idx="3">
                  <c:v>6.6993487249999992</c:v>
                </c:pt>
                <c:pt idx="4">
                  <c:v>6.7258881475000001</c:v>
                </c:pt>
                <c:pt idx="5">
                  <c:v>6.7293866422499997</c:v>
                </c:pt>
                <c:pt idx="6">
                  <c:v>6.7298209469750008</c:v>
                </c:pt>
                <c:pt idx="7">
                  <c:v>6.7298728229725002</c:v>
                </c:pt>
                <c:pt idx="8">
                  <c:v>6.7298788551247499</c:v>
                </c:pt>
                <c:pt idx="9">
                  <c:v>6.7298795427952252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E-BA4B-847F-6638DAF3FA23}"/>
            </c:ext>
          </c:extLst>
        </c:ser>
        <c:ser>
          <c:idx val="3"/>
          <c:order val="3"/>
          <c:tx>
            <c:v>Professor</c:v>
          </c:tx>
          <c:spPr>
            <a:solidFill>
              <a:srgbClr val="006411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Model'!$E$24:$N$24</c:f>
              <c:numCache>
                <c:formatCode>0.00</c:formatCode>
                <c:ptCount val="10"/>
                <c:pt idx="0">
                  <c:v>6.3868999999999998</c:v>
                </c:pt>
                <c:pt idx="1">
                  <c:v>8.1526899999999998</c:v>
                </c:pt>
                <c:pt idx="2">
                  <c:v>9.5690790000000003</c:v>
                </c:pt>
                <c:pt idx="3">
                  <c:v>9.8346988999999994</c:v>
                </c:pt>
                <c:pt idx="4">
                  <c:v>9.8736589900000009</c:v>
                </c:pt>
                <c:pt idx="5">
                  <c:v>9.8787948089999986</c:v>
                </c:pt>
                <c:pt idx="6">
                  <c:v>9.8794323719000001</c:v>
                </c:pt>
                <c:pt idx="7">
                  <c:v>9.8795085262900013</c:v>
                </c:pt>
                <c:pt idx="8">
                  <c:v>9.8795173815389994</c:v>
                </c:pt>
                <c:pt idx="9">
                  <c:v>9.8795183910449005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E-BA4B-847F-6638DAF3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18422431"/>
        <c:axId val="1"/>
      </c:barChart>
      <c:catAx>
        <c:axId val="191842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91842243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8258979646388492E-2"/>
          <c:y val="0.90002873016515361"/>
          <c:w val="0.91960166770618068"/>
          <c:h val="6.4002043033966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Required Non-Instructional Personnel</a:t>
            </a:r>
          </a:p>
        </c:rich>
      </c:tx>
      <c:layout>
        <c:manualLayout>
          <c:xMode val="edge"/>
          <c:yMode val="edge"/>
          <c:x val="0.21094407999924022"/>
          <c:y val="3.502064043720700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710445431854879E-2"/>
          <c:y val="0.17510320218603503"/>
          <c:w val="0.90367402172514022"/>
          <c:h val="0.64593625695292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'Ed.Forecasting Model'!$D$29</c:f>
              <c:strCache>
                <c:ptCount val="1"/>
                <c:pt idx="0">
                  <c:v>Central</c:v>
                </c:pt>
              </c:strCache>
            </c:strRef>
          </c:tx>
          <c:spPr>
            <a:solidFill>
              <a:srgbClr val="808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Model'!$E$29:$N$29</c:f>
              <c:numCache>
                <c:formatCode>0.00</c:formatCode>
                <c:ptCount val="10"/>
                <c:pt idx="0">
                  <c:v>2.5500000000000003</c:v>
                </c:pt>
                <c:pt idx="1">
                  <c:v>3.2549999999999999</c:v>
                </c:pt>
                <c:pt idx="2">
                  <c:v>3.8205</c:v>
                </c:pt>
                <c:pt idx="3">
                  <c:v>3.9265499999999998</c:v>
                </c:pt>
                <c:pt idx="4">
                  <c:v>3.9421050000000002</c:v>
                </c:pt>
                <c:pt idx="5">
                  <c:v>3.9441554999999999</c:v>
                </c:pt>
                <c:pt idx="6">
                  <c:v>3.9444100500000006</c:v>
                </c:pt>
                <c:pt idx="7">
                  <c:v>3.9444404550000005</c:v>
                </c:pt>
                <c:pt idx="8">
                  <c:v>3.9444439905000004</c:v>
                </c:pt>
                <c:pt idx="9">
                  <c:v>3.9444443935500004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2-844A-9928-FA4742B975AE}"/>
            </c:ext>
          </c:extLst>
        </c:ser>
        <c:ser>
          <c:idx val="1"/>
          <c:order val="1"/>
          <c:tx>
            <c:strRef>
              <c:f>'Ed.Forecasting Model'!$D$30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rgbClr val="DD080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Model'!$E$30:$N$30</c:f>
              <c:numCache>
                <c:formatCode>0.00</c:formatCode>
                <c:ptCount val="10"/>
                <c:pt idx="0">
                  <c:v>0.85</c:v>
                </c:pt>
                <c:pt idx="1">
                  <c:v>1.085</c:v>
                </c:pt>
                <c:pt idx="2">
                  <c:v>1.2735000000000001</c:v>
                </c:pt>
                <c:pt idx="3">
                  <c:v>1.3088499999999998</c:v>
                </c:pt>
                <c:pt idx="4">
                  <c:v>1.3140350000000001</c:v>
                </c:pt>
                <c:pt idx="5">
                  <c:v>1.3147184999999999</c:v>
                </c:pt>
                <c:pt idx="6">
                  <c:v>1.3148033500000003</c:v>
                </c:pt>
                <c:pt idx="7">
                  <c:v>1.3148134850000002</c:v>
                </c:pt>
                <c:pt idx="8">
                  <c:v>1.3148146635</c:v>
                </c:pt>
                <c:pt idx="9">
                  <c:v>1.3148147978500002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2-844A-9928-FA4742B975AE}"/>
            </c:ext>
          </c:extLst>
        </c:ser>
        <c:ser>
          <c:idx val="2"/>
          <c:order val="2"/>
          <c:tx>
            <c:strRef>
              <c:f>'Ed.Forecasting Model'!$D$31</c:f>
              <c:strCache>
                <c:ptCount val="1"/>
                <c:pt idx="0">
                  <c:v>Clerical</c:v>
                </c:pt>
              </c:strCache>
            </c:strRef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Model'!$E$31:$N$31</c:f>
              <c:numCache>
                <c:formatCode>0.00</c:formatCode>
                <c:ptCount val="10"/>
                <c:pt idx="0">
                  <c:v>1.9124999999999999</c:v>
                </c:pt>
                <c:pt idx="1">
                  <c:v>2.4412499999999997</c:v>
                </c:pt>
                <c:pt idx="2">
                  <c:v>2.8653749999999998</c:v>
                </c:pt>
                <c:pt idx="3">
                  <c:v>2.9449124999999996</c:v>
                </c:pt>
                <c:pt idx="4">
                  <c:v>2.9565787499999998</c:v>
                </c:pt>
                <c:pt idx="5">
                  <c:v>2.9581166249999997</c:v>
                </c:pt>
                <c:pt idx="6">
                  <c:v>2.9583075375000001</c:v>
                </c:pt>
                <c:pt idx="7">
                  <c:v>2.9583303412499999</c:v>
                </c:pt>
                <c:pt idx="8">
                  <c:v>2.958332992875</c:v>
                </c:pt>
                <c:pt idx="9">
                  <c:v>2.9583332951624999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2-844A-9928-FA4742B975AE}"/>
            </c:ext>
          </c:extLst>
        </c:ser>
        <c:ser>
          <c:idx val="3"/>
          <c:order val="3"/>
          <c:tx>
            <c:v>Maintenance</c:v>
          </c:tx>
          <c:spPr>
            <a:solidFill>
              <a:srgbClr val="339933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Model'!$E$32:$N$32</c:f>
              <c:numCache>
                <c:formatCode>0.00</c:formatCode>
                <c:ptCount val="10"/>
                <c:pt idx="0">
                  <c:v>0.51</c:v>
                </c:pt>
                <c:pt idx="1">
                  <c:v>0.65099999999999991</c:v>
                </c:pt>
                <c:pt idx="2">
                  <c:v>0.76409999999999989</c:v>
                </c:pt>
                <c:pt idx="3">
                  <c:v>0.78530999999999984</c:v>
                </c:pt>
                <c:pt idx="4">
                  <c:v>0.78842099999999993</c:v>
                </c:pt>
                <c:pt idx="5">
                  <c:v>0.7888310999999999</c:v>
                </c:pt>
                <c:pt idx="6">
                  <c:v>0.78888201000000002</c:v>
                </c:pt>
                <c:pt idx="7">
                  <c:v>0.78888809100000001</c:v>
                </c:pt>
                <c:pt idx="8">
                  <c:v>0.78888879810000001</c:v>
                </c:pt>
                <c:pt idx="9">
                  <c:v>0.78888887871000002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2-844A-9928-FA4742B9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4154319"/>
        <c:axId val="1"/>
      </c:barChart>
      <c:catAx>
        <c:axId val="20741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4154319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229735308576314"/>
          <c:y val="0.90664546909658139"/>
          <c:w val="0.66147896691119767"/>
          <c:h val="5.44765517912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Required Material Inputs</a:t>
            </a:r>
          </a:p>
        </c:rich>
      </c:tx>
      <c:layout>
        <c:manualLayout>
          <c:xMode val="edge"/>
          <c:yMode val="edge"/>
          <c:x val="0.30482227346269569"/>
          <c:y val="3.488493202003040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369397958890161"/>
          <c:y val="0.16667245298458969"/>
          <c:w val="0.83692431222652419"/>
          <c:h val="0.6589376048227964"/>
        </c:manualLayout>
      </c:layout>
      <c:barChart>
        <c:barDir val="col"/>
        <c:grouping val="stacked"/>
        <c:varyColors val="0"/>
        <c:ser>
          <c:idx val="0"/>
          <c:order val="0"/>
          <c:tx>
            <c:v>Equipment</c:v>
          </c:tx>
          <c:spPr>
            <a:solidFill>
              <a:srgbClr val="808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Model'!$E$35:$N$35</c:f>
              <c:numCache>
                <c:formatCode>0.0000</c:formatCode>
                <c:ptCount val="10"/>
                <c:pt idx="0">
                  <c:v>0.10625</c:v>
                </c:pt>
                <c:pt idx="1">
                  <c:v>0.135625</c:v>
                </c:pt>
                <c:pt idx="2">
                  <c:v>0.15918750000000001</c:v>
                </c:pt>
                <c:pt idx="3">
                  <c:v>0.16360624999999998</c:v>
                </c:pt>
                <c:pt idx="4">
                  <c:v>0.16425437500000001</c:v>
                </c:pt>
                <c:pt idx="5">
                  <c:v>0.16433981249999999</c:v>
                </c:pt>
                <c:pt idx="6">
                  <c:v>0.16435041875000003</c:v>
                </c:pt>
                <c:pt idx="7">
                  <c:v>0.16435168562500002</c:v>
                </c:pt>
                <c:pt idx="8">
                  <c:v>0.1643518329375</c:v>
                </c:pt>
                <c:pt idx="9">
                  <c:v>0.16435184973125003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1-B245-A6FB-CE74E2891688}"/>
            </c:ext>
          </c:extLst>
        </c:ser>
        <c:ser>
          <c:idx val="1"/>
          <c:order val="1"/>
          <c:tx>
            <c:v>Supplies</c:v>
          </c:tx>
          <c:spPr>
            <a:solidFill>
              <a:srgbClr val="80206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Model'!$E$36:$N$36</c:f>
              <c:numCache>
                <c:formatCode>0.0000</c:formatCode>
                <c:ptCount val="10"/>
                <c:pt idx="0">
                  <c:v>7.2250000000000009E-2</c:v>
                </c:pt>
                <c:pt idx="1">
                  <c:v>9.2225000000000001E-2</c:v>
                </c:pt>
                <c:pt idx="2">
                  <c:v>0.10824750000000001</c:v>
                </c:pt>
                <c:pt idx="3">
                  <c:v>0.11125225</c:v>
                </c:pt>
                <c:pt idx="4">
                  <c:v>0.11169297500000001</c:v>
                </c:pt>
                <c:pt idx="5">
                  <c:v>0.11175107250000001</c:v>
                </c:pt>
                <c:pt idx="6">
                  <c:v>0.11175828475000002</c:v>
                </c:pt>
                <c:pt idx="7">
                  <c:v>0.11175914622500002</c:v>
                </c:pt>
                <c:pt idx="8">
                  <c:v>0.11175924639750001</c:v>
                </c:pt>
                <c:pt idx="9">
                  <c:v>0.11175925781725002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1-B245-A6FB-CE74E2891688}"/>
            </c:ext>
          </c:extLst>
        </c:ser>
        <c:ser>
          <c:idx val="2"/>
          <c:order val="2"/>
          <c:tx>
            <c:v>Repairs</c:v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Model'!$E$37:$N$37</c:f>
              <c:numCache>
                <c:formatCode>0.0000</c:formatCode>
                <c:ptCount val="10"/>
                <c:pt idx="0">
                  <c:v>1.7000000000000001E-2</c:v>
                </c:pt>
                <c:pt idx="1">
                  <c:v>2.1700000000000001E-2</c:v>
                </c:pt>
                <c:pt idx="2">
                  <c:v>2.5470000000000003E-2</c:v>
                </c:pt>
                <c:pt idx="3">
                  <c:v>2.6176999999999999E-2</c:v>
                </c:pt>
                <c:pt idx="4">
                  <c:v>2.6280700000000004E-2</c:v>
                </c:pt>
                <c:pt idx="5">
                  <c:v>2.6294370000000001E-2</c:v>
                </c:pt>
                <c:pt idx="6">
                  <c:v>2.6296067000000006E-2</c:v>
                </c:pt>
                <c:pt idx="7">
                  <c:v>2.6296269700000003E-2</c:v>
                </c:pt>
                <c:pt idx="8">
                  <c:v>2.6296293270000003E-2</c:v>
                </c:pt>
                <c:pt idx="9">
                  <c:v>2.6296295957000004E-2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1-B245-A6FB-CE74E289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436559"/>
        <c:axId val="1"/>
      </c:barChart>
      <c:catAx>
        <c:axId val="2122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2436559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08347754491536"/>
          <c:y val="0.91088433607857155"/>
          <c:w val="0.4706028081529337"/>
          <c:h val="6.58937604822796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Required Classrooms and Laboratories</a:t>
            </a:r>
          </a:p>
        </c:rich>
      </c:tx>
      <c:layout>
        <c:manualLayout>
          <c:xMode val="edge"/>
          <c:yMode val="edge"/>
          <c:x val="0.19792284049311429"/>
          <c:y val="3.249208801923664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60814716003421"/>
          <c:y val="0.17690136810473286"/>
          <c:w val="0.8437763199969609"/>
          <c:h val="0.631790600374046"/>
        </c:manualLayout>
      </c:layout>
      <c:barChart>
        <c:barDir val="col"/>
        <c:grouping val="clustered"/>
        <c:varyColors val="0"/>
        <c:ser>
          <c:idx val="0"/>
          <c:order val="0"/>
          <c:tx>
            <c:v>Lecture Classrooms</c:v>
          </c:tx>
          <c:spPr>
            <a:solidFill>
              <a:srgbClr val="0000D4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Model'!$E$40:$N$40</c:f>
              <c:numCache>
                <c:formatCode>0.00</c:formatCode>
                <c:ptCount val="10"/>
                <c:pt idx="0">
                  <c:v>15.805325</c:v>
                </c:pt>
                <c:pt idx="1">
                  <c:v>20.1750325</c:v>
                </c:pt>
                <c:pt idx="2">
                  <c:v>23.68009575</c:v>
                </c:pt>
                <c:pt idx="3">
                  <c:v>24.337411324999998</c:v>
                </c:pt>
                <c:pt idx="4">
                  <c:v>24.433823807500001</c:v>
                </c:pt>
                <c:pt idx="5">
                  <c:v>24.446533148249998</c:v>
                </c:pt>
                <c:pt idx="6">
                  <c:v>24.448110891575002</c:v>
                </c:pt>
                <c:pt idx="7">
                  <c:v>24.448299346832503</c:v>
                </c:pt>
                <c:pt idx="8">
                  <c:v>24.448321260450751</c:v>
                </c:pt>
                <c:pt idx="9">
                  <c:v>24.448323758621825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B-AF4B-B746-8D7A4E819524}"/>
            </c:ext>
          </c:extLst>
        </c:ser>
        <c:ser>
          <c:idx val="1"/>
          <c:order val="1"/>
          <c:tx>
            <c:v>Laboratories</c:v>
          </c:tx>
          <c:spPr>
            <a:solidFill>
              <a:srgbClr val="DD080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Model'!$E$4:$N$4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Model'!$E$41:$N$41</c:f>
              <c:numCache>
                <c:formatCode>0.00</c:formatCode>
                <c:ptCount val="10"/>
                <c:pt idx="0">
                  <c:v>1.5805324999999999</c:v>
                </c:pt>
                <c:pt idx="1">
                  <c:v>2.0175032499999999</c:v>
                </c:pt>
                <c:pt idx="2">
                  <c:v>2.3680095749999999</c:v>
                </c:pt>
                <c:pt idx="3">
                  <c:v>2.4337411324999998</c:v>
                </c:pt>
                <c:pt idx="4">
                  <c:v>2.4433823807500001</c:v>
                </c:pt>
                <c:pt idx="5">
                  <c:v>2.4446533148249996</c:v>
                </c:pt>
                <c:pt idx="6">
                  <c:v>2.4448110891575001</c:v>
                </c:pt>
                <c:pt idx="7">
                  <c:v>2.4448299346832503</c:v>
                </c:pt>
                <c:pt idx="8">
                  <c:v>2.4448321260450752</c:v>
                </c:pt>
                <c:pt idx="9">
                  <c:v>2.4448323758621826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B-AF4B-B746-8D7A4E81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775311"/>
        <c:axId val="1"/>
      </c:barChart>
      <c:catAx>
        <c:axId val="207377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377531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90550024579733"/>
          <c:y val="0.89533753653007653"/>
          <c:w val="0.45053488691195748"/>
          <c:h val="5.4153480032061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Annual Budget Projections</a:t>
            </a:r>
          </a:p>
        </c:rich>
      </c:tx>
      <c:layout>
        <c:manualLayout>
          <c:xMode val="edge"/>
          <c:yMode val="edge"/>
          <c:x val="0.28800909403714897"/>
          <c:y val="3.30893657585450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400581007928962"/>
          <c:y val="0.15809363640193763"/>
          <c:w val="0.78669150686073097"/>
          <c:h val="0.59193198745841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'Ed.Forecasting Model'!$D$109</c:f>
              <c:strCache>
                <c:ptCount val="1"/>
                <c:pt idx="0">
                  <c:v>     Teachers:</c:v>
                </c:pt>
              </c:strCache>
            </c:strRef>
          </c:tx>
          <c:spPr>
            <a:solidFill>
              <a:srgbClr val="0000D4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Model'!$E$108:$N$108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Model'!$E$109:$N$109</c:f>
              <c:numCache>
                <c:formatCode>"$"0.00E+0</c:formatCode>
                <c:ptCount val="10"/>
                <c:pt idx="0">
                  <c:v>911772.04999999981</c:v>
                </c:pt>
                <c:pt idx="1">
                  <c:v>1163850.2050000001</c:v>
                </c:pt>
                <c:pt idx="2">
                  <c:v>1366049.0655</c:v>
                </c:pt>
                <c:pt idx="3">
                  <c:v>1403968.05605</c:v>
                </c:pt>
                <c:pt idx="4">
                  <c:v>1409529.8655550003</c:v>
                </c:pt>
                <c:pt idx="5">
                  <c:v>1410263.0375504999</c:v>
                </c:pt>
                <c:pt idx="6">
                  <c:v>1410354.0538545502</c:v>
                </c:pt>
                <c:pt idx="7">
                  <c:v>1410364.9253954052</c:v>
                </c:pt>
                <c:pt idx="8">
                  <c:v>1410366.1895405354</c:v>
                </c:pt>
                <c:pt idx="9">
                  <c:v>1410366.3336541532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4-1C4F-9F82-82571EB42ECD}"/>
            </c:ext>
          </c:extLst>
        </c:ser>
        <c:ser>
          <c:idx val="1"/>
          <c:order val="1"/>
          <c:tx>
            <c:strRef>
              <c:f>'Ed.Forecasting Model'!$D$110</c:f>
              <c:strCache>
                <c:ptCount val="1"/>
                <c:pt idx="0">
                  <c:v>     Administration</c:v>
                </c:pt>
              </c:strCache>
            </c:strRef>
          </c:tx>
          <c:spPr>
            <a:solidFill>
              <a:srgbClr val="DD080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Model'!$E$108:$N$108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Model'!$E$110:$N$110</c:f>
              <c:numCache>
                <c:formatCode>"$"0.00E+0</c:formatCode>
                <c:ptCount val="10"/>
                <c:pt idx="0">
                  <c:v>429250</c:v>
                </c:pt>
                <c:pt idx="1">
                  <c:v>547925</c:v>
                </c:pt>
                <c:pt idx="2">
                  <c:v>643117.5</c:v>
                </c:pt>
                <c:pt idx="3">
                  <c:v>660969.25</c:v>
                </c:pt>
                <c:pt idx="4">
                  <c:v>663587.67500000005</c:v>
                </c:pt>
                <c:pt idx="5">
                  <c:v>663932.84250000003</c:v>
                </c:pt>
                <c:pt idx="6">
                  <c:v>663975.69175</c:v>
                </c:pt>
                <c:pt idx="7">
                  <c:v>663980.80992499995</c:v>
                </c:pt>
                <c:pt idx="8">
                  <c:v>663981.40506750008</c:v>
                </c:pt>
                <c:pt idx="9">
                  <c:v>663981.47291424999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4-1C4F-9F82-82571EB42ECD}"/>
            </c:ext>
          </c:extLst>
        </c:ser>
        <c:ser>
          <c:idx val="2"/>
          <c:order val="2"/>
          <c:tx>
            <c:strRef>
              <c:f>'Ed.Forecasting Model'!$D$111</c:f>
              <c:strCache>
                <c:ptCount val="1"/>
                <c:pt idx="0">
                  <c:v>     Materiel</c:v>
                </c:pt>
              </c:strCache>
            </c:strRef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Model'!$E$108:$N$108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Model'!$E$111:$N$111</c:f>
              <c:numCache>
                <c:formatCode>"$"0.00E+0</c:formatCode>
                <c:ptCount val="10"/>
                <c:pt idx="0">
                  <c:v>15597.5</c:v>
                </c:pt>
                <c:pt idx="1">
                  <c:v>19909.75</c:v>
                </c:pt>
                <c:pt idx="2">
                  <c:v>23368.724999999999</c:v>
                </c:pt>
                <c:pt idx="3">
                  <c:v>24017.397499999999</c:v>
                </c:pt>
                <c:pt idx="4">
                  <c:v>24112.542250000002</c:v>
                </c:pt>
                <c:pt idx="5">
                  <c:v>24125.084474999996</c:v>
                </c:pt>
                <c:pt idx="6">
                  <c:v>24126.641472500003</c:v>
                </c:pt>
                <c:pt idx="7">
                  <c:v>24126.827449750006</c:v>
                </c:pt>
                <c:pt idx="8">
                  <c:v>24126.849075225</c:v>
                </c:pt>
                <c:pt idx="9">
                  <c:v>24126.851540547505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4-1C4F-9F82-82571EB42ECD}"/>
            </c:ext>
          </c:extLst>
        </c:ser>
        <c:ser>
          <c:idx val="3"/>
          <c:order val="3"/>
          <c:tx>
            <c:strRef>
              <c:f>'Ed.Forecasting Model'!$D$112</c:f>
              <c:strCache>
                <c:ptCount val="1"/>
                <c:pt idx="0">
                  <c:v>     Capital Classes</c:v>
                </c:pt>
              </c:strCache>
            </c:strRef>
          </c:tx>
          <c:spPr>
            <a:solidFill>
              <a:srgbClr val="339933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Model'!$E$108:$N$108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Model'!$E$112:$N$112</c:f>
              <c:numCache>
                <c:formatCode>"$"0.00E+0</c:formatCode>
                <c:ptCount val="10"/>
                <c:pt idx="0">
                  <c:v>217655.27319834262</c:v>
                </c:pt>
                <c:pt idx="1">
                  <c:v>277830.55461200204</c:v>
                </c:pt>
                <c:pt idx="2">
                  <c:v>326098.81225657568</c:v>
                </c:pt>
                <c:pt idx="3">
                  <c:v>335150.71097135381</c:v>
                </c:pt>
                <c:pt idx="4">
                  <c:v>336478.40813786373</c:v>
                </c:pt>
                <c:pt idx="5">
                  <c:v>336653.42858401785</c:v>
                </c:pt>
                <c:pt idx="6">
                  <c:v>336675.15570158366</c:v>
                </c:pt>
                <c:pt idx="7">
                  <c:v>336677.7509206353</c:v>
                </c:pt>
                <c:pt idx="8">
                  <c:v>336678.05269326991</c:v>
                </c:pt>
                <c:pt idx="9">
                  <c:v>336678.08709560632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4-1C4F-9F82-82571EB42ECD}"/>
            </c:ext>
          </c:extLst>
        </c:ser>
        <c:ser>
          <c:idx val="4"/>
          <c:order val="4"/>
          <c:tx>
            <c:strRef>
              <c:f>'Ed.Forecasting Model'!$D$113</c:f>
              <c:strCache>
                <c:ptCount val="1"/>
                <c:pt idx="0">
                  <c:v>     Capital Laboratories</c:v>
                </c:pt>
              </c:strCache>
            </c:strRef>
          </c:tx>
          <c:spPr>
            <a:solidFill>
              <a:srgbClr val="60008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'Ed.Forecasting Model'!$E$108:$N$108</c:f>
              <c:strCache>
                <c:ptCount val="10"/>
                <c:pt idx="0">
                  <c:v>t-0</c:v>
                </c:pt>
                <c:pt idx="1">
                  <c:v>t-1</c:v>
                </c:pt>
                <c:pt idx="2">
                  <c:v>t-2</c:v>
                </c:pt>
                <c:pt idx="3">
                  <c:v>t-3</c:v>
                </c:pt>
                <c:pt idx="4">
                  <c:v>t-4</c:v>
                </c:pt>
                <c:pt idx="5">
                  <c:v>t-5</c:v>
                </c:pt>
                <c:pt idx="6">
                  <c:v>t-6</c:v>
                </c:pt>
                <c:pt idx="7">
                  <c:v>t-7</c:v>
                </c:pt>
                <c:pt idx="8">
                  <c:v>t-8</c:v>
                </c:pt>
                <c:pt idx="9">
                  <c:v>t-9</c:v>
                </c:pt>
              </c:strCache>
            </c:strRef>
          </c:cat>
          <c:val>
            <c:numRef>
              <c:f>'Ed.Forecasting Model'!$E$113:$N$113</c:f>
              <c:numCache>
                <c:formatCode>"$"0.00E+0</c:formatCode>
                <c:ptCount val="10"/>
                <c:pt idx="0">
                  <c:v>72296.375545561474</c:v>
                </c:pt>
                <c:pt idx="1">
                  <c:v>92284.197019922591</c:v>
                </c:pt>
                <c:pt idx="2">
                  <c:v>108316.98147914417</c:v>
                </c:pt>
                <c:pt idx="3">
                  <c:v>111323.66015624488</c:v>
                </c:pt>
                <c:pt idx="4">
                  <c:v>111764.66804707282</c:v>
                </c:pt>
                <c:pt idx="5">
                  <c:v>111822.80283846737</c:v>
                </c:pt>
                <c:pt idx="6">
                  <c:v>111830.01971783803</c:v>
                </c:pt>
                <c:pt idx="7">
                  <c:v>111830.88174579822</c:v>
                </c:pt>
                <c:pt idx="8">
                  <c:v>111830.98198259654</c:v>
                </c:pt>
                <c:pt idx="9">
                  <c:v>111830.99340967661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4-1C4F-9F82-82571EB42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7573871"/>
        <c:axId val="1"/>
      </c:barChart>
      <c:catAx>
        <c:axId val="206757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6757387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133653308714501"/>
          <c:y val="0.84929372113599055"/>
          <c:w val="0.88536128907716161"/>
          <c:h val="0.128680866838786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221</xdr:row>
      <xdr:rowOff>114300</xdr:rowOff>
    </xdr:from>
    <xdr:to>
      <xdr:col>15</xdr:col>
      <xdr:colOff>165100</xdr:colOff>
      <xdr:row>239</xdr:row>
      <xdr:rowOff>139700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ED06F44C-9E74-E347-9C16-A16C98D75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221</xdr:row>
      <xdr:rowOff>25400</xdr:rowOff>
    </xdr:from>
    <xdr:to>
      <xdr:col>8</xdr:col>
      <xdr:colOff>127000</xdr:colOff>
      <xdr:row>239</xdr:row>
      <xdr:rowOff>114300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6063169B-651C-F049-90A8-421042948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279400</xdr:colOff>
      <xdr:row>239</xdr:row>
      <xdr:rowOff>152400</xdr:rowOff>
    </xdr:from>
    <xdr:to>
      <xdr:col>8</xdr:col>
      <xdr:colOff>127000</xdr:colOff>
      <xdr:row>255</xdr:row>
      <xdr:rowOff>114300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497F661A-082C-3B4D-9484-3B91B3793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139700</xdr:colOff>
      <xdr:row>240</xdr:row>
      <xdr:rowOff>12700</xdr:rowOff>
    </xdr:from>
    <xdr:to>
      <xdr:col>15</xdr:col>
      <xdr:colOff>165100</xdr:colOff>
      <xdr:row>255</xdr:row>
      <xdr:rowOff>139700</xdr:rowOff>
    </xdr:to>
    <xdr:graphicFrame macro="">
      <xdr:nvGraphicFramePr>
        <xdr:cNvPr id="1044" name="Chart 20">
          <a:extLst>
            <a:ext uri="{FF2B5EF4-FFF2-40B4-BE49-F238E27FC236}">
              <a16:creationId xmlns:a16="http://schemas.microsoft.com/office/drawing/2014/main" id="{B1F81565-487B-A34A-955B-2A25EFC52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292100</xdr:colOff>
      <xdr:row>255</xdr:row>
      <xdr:rowOff>139700</xdr:rowOff>
    </xdr:from>
    <xdr:to>
      <xdr:col>8</xdr:col>
      <xdr:colOff>139700</xdr:colOff>
      <xdr:row>271</xdr:row>
      <xdr:rowOff>152400</xdr:rowOff>
    </xdr:to>
    <xdr:graphicFrame macro="">
      <xdr:nvGraphicFramePr>
        <xdr:cNvPr id="1047" name="Chart 23">
          <a:extLst>
            <a:ext uri="{FF2B5EF4-FFF2-40B4-BE49-F238E27FC236}">
              <a16:creationId xmlns:a16="http://schemas.microsoft.com/office/drawing/2014/main" id="{6D9F8381-F457-FC4A-8BC6-10BAF1AA2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127000</xdr:colOff>
      <xdr:row>255</xdr:row>
      <xdr:rowOff>152400</xdr:rowOff>
    </xdr:from>
    <xdr:to>
      <xdr:col>15</xdr:col>
      <xdr:colOff>165100</xdr:colOff>
      <xdr:row>271</xdr:row>
      <xdr:rowOff>177800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CBFD11C9-7EA5-E64E-8CBB-F0D6FF612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304800</xdr:colOff>
      <xdr:row>272</xdr:row>
      <xdr:rowOff>12700</xdr:rowOff>
    </xdr:from>
    <xdr:to>
      <xdr:col>8</xdr:col>
      <xdr:colOff>139700</xdr:colOff>
      <xdr:row>289</xdr:row>
      <xdr:rowOff>76200</xdr:rowOff>
    </xdr:to>
    <xdr:graphicFrame macro="">
      <xdr:nvGraphicFramePr>
        <xdr:cNvPr id="1054" name="Chart 30">
          <a:extLst>
            <a:ext uri="{FF2B5EF4-FFF2-40B4-BE49-F238E27FC236}">
              <a16:creationId xmlns:a16="http://schemas.microsoft.com/office/drawing/2014/main" id="{F26A8E26-09FA-9F4D-AA89-E5C4E0C47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177800</xdr:colOff>
      <xdr:row>272</xdr:row>
      <xdr:rowOff>76200</xdr:rowOff>
    </xdr:from>
    <xdr:to>
      <xdr:col>15</xdr:col>
      <xdr:colOff>228600</xdr:colOff>
      <xdr:row>289</xdr:row>
      <xdr:rowOff>76200</xdr:rowOff>
    </xdr:to>
    <xdr:graphicFrame macro="">
      <xdr:nvGraphicFramePr>
        <xdr:cNvPr id="1057" name="Chart 33">
          <a:extLst>
            <a:ext uri="{FF2B5EF4-FFF2-40B4-BE49-F238E27FC236}">
              <a16:creationId xmlns:a16="http://schemas.microsoft.com/office/drawing/2014/main" id="{A426C4A1-0AA8-C84C-B737-46F6F6F5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tabSelected="1" topLeftCell="B1" workbookViewId="0">
      <pane xSplit="15800" ySplit="2840" topLeftCell="R144" activePane="bottomLeft"/>
      <selection activeCell="B1" sqref="A1:IV65536"/>
      <selection pane="topRight" activeCell="S2" sqref="S2"/>
      <selection pane="bottomLeft" activeCell="P146" sqref="P146"/>
      <selection pane="bottomRight" activeCell="S226" sqref="S226"/>
    </sheetView>
  </sheetViews>
  <sheetFormatPr baseColWidth="10" defaultRowHeight="16"/>
  <cols>
    <col min="1" max="1" width="1.140625" style="2" customWidth="1"/>
    <col min="2" max="3" width="6.7109375" style="12" customWidth="1"/>
    <col min="4" max="4" width="7.42578125" style="12" customWidth="1"/>
    <col min="5" max="5" width="9.7109375" style="2" customWidth="1"/>
    <col min="6" max="15" width="7.5703125" style="2" customWidth="1"/>
    <col min="16" max="17" width="4.5703125" style="2" customWidth="1"/>
    <col min="18" max="18" width="10" style="13" customWidth="1"/>
    <col min="19" max="19" width="7.5703125" style="2" customWidth="1"/>
    <col min="20" max="20" width="8.140625" style="2" customWidth="1"/>
    <col min="21" max="16384" width="10.7109375" style="2"/>
  </cols>
  <sheetData>
    <row r="1" spans="1:20" ht="18" thickBot="1">
      <c r="F1" s="5"/>
      <c r="G1" s="4"/>
      <c r="H1" s="4"/>
      <c r="I1" s="1" t="s">
        <v>80</v>
      </c>
      <c r="J1" s="4"/>
      <c r="K1" s="4"/>
      <c r="L1" s="6"/>
      <c r="S1" s="142" t="s">
        <v>48</v>
      </c>
      <c r="T1" s="143"/>
    </row>
    <row r="2" spans="1:20" ht="17" thickBot="1">
      <c r="B2" s="12" t="s">
        <v>79</v>
      </c>
      <c r="F2" s="7"/>
      <c r="G2" s="7"/>
      <c r="H2" s="14"/>
      <c r="I2" s="7"/>
      <c r="J2" s="7"/>
      <c r="O2" s="8" t="s">
        <v>122</v>
      </c>
      <c r="R2" s="15" t="s">
        <v>45</v>
      </c>
      <c r="S2" s="16">
        <v>0</v>
      </c>
    </row>
    <row r="3" spans="1:20" ht="17" thickBot="1">
      <c r="B3" s="17" t="s">
        <v>141</v>
      </c>
      <c r="E3" s="18" t="s">
        <v>142</v>
      </c>
      <c r="R3" s="13" t="s">
        <v>42</v>
      </c>
      <c r="S3" s="18" t="s">
        <v>43</v>
      </c>
      <c r="T3" s="18" t="s">
        <v>44</v>
      </c>
    </row>
    <row r="4" spans="1:20" ht="17" thickBot="1">
      <c r="B4" s="19" t="s">
        <v>143</v>
      </c>
      <c r="C4" s="20" t="s">
        <v>144</v>
      </c>
      <c r="D4" s="21" t="s">
        <v>145</v>
      </c>
      <c r="E4" s="22" t="s">
        <v>146</v>
      </c>
      <c r="F4" s="22" t="s">
        <v>147</v>
      </c>
      <c r="G4" s="22" t="s">
        <v>148</v>
      </c>
      <c r="H4" s="22" t="s">
        <v>149</v>
      </c>
      <c r="I4" s="22" t="s">
        <v>150</v>
      </c>
      <c r="J4" s="22" t="s">
        <v>151</v>
      </c>
      <c r="K4" s="22" t="s">
        <v>152</v>
      </c>
      <c r="L4" s="22" t="s">
        <v>153</v>
      </c>
      <c r="M4" s="22" t="s">
        <v>154</v>
      </c>
      <c r="N4" s="22" t="s">
        <v>155</v>
      </c>
      <c r="O4" s="22" t="s">
        <v>156</v>
      </c>
      <c r="R4" s="13" t="s">
        <v>143</v>
      </c>
      <c r="S4" s="23">
        <v>250</v>
      </c>
      <c r="T4" s="24">
        <v>250</v>
      </c>
    </row>
    <row r="5" spans="1:20" ht="17" thickBot="1">
      <c r="B5" s="25">
        <f>1+$S$2</f>
        <v>1</v>
      </c>
      <c r="C5" s="26"/>
      <c r="D5" s="27"/>
      <c r="E5" s="28">
        <f>$S$4</f>
        <v>250</v>
      </c>
      <c r="F5" s="29">
        <f t="shared" ref="F5:O5" si="0">E5*$B$5</f>
        <v>250</v>
      </c>
      <c r="G5" s="29">
        <f t="shared" si="0"/>
        <v>250</v>
      </c>
      <c r="H5" s="29">
        <f t="shared" si="0"/>
        <v>250</v>
      </c>
      <c r="I5" s="29">
        <f t="shared" si="0"/>
        <v>250</v>
      </c>
      <c r="J5" s="29">
        <f t="shared" si="0"/>
        <v>250</v>
      </c>
      <c r="K5" s="29">
        <f t="shared" si="0"/>
        <v>250</v>
      </c>
      <c r="L5" s="29">
        <f t="shared" si="0"/>
        <v>250</v>
      </c>
      <c r="M5" s="29">
        <f t="shared" si="0"/>
        <v>250</v>
      </c>
      <c r="N5" s="29">
        <f t="shared" si="0"/>
        <v>250</v>
      </c>
      <c r="O5" s="29">
        <f t="shared" si="0"/>
        <v>250</v>
      </c>
      <c r="R5" s="13" t="s">
        <v>144</v>
      </c>
      <c r="S5" s="23">
        <v>100</v>
      </c>
      <c r="T5" s="24">
        <v>100</v>
      </c>
    </row>
    <row r="6" spans="1:20" ht="17" thickBot="1">
      <c r="B6" s="30">
        <v>0.8</v>
      </c>
      <c r="C6" s="31">
        <v>0.1</v>
      </c>
      <c r="D6" s="32"/>
      <c r="E6" s="33">
        <f>$S$5</f>
        <v>100</v>
      </c>
      <c r="F6" s="34">
        <f t="shared" ref="F6:O6" si="1">E5*$B$6+E6*$C$6</f>
        <v>210</v>
      </c>
      <c r="G6" s="35">
        <f t="shared" si="1"/>
        <v>221</v>
      </c>
      <c r="H6" s="35">
        <f t="shared" si="1"/>
        <v>222.1</v>
      </c>
      <c r="I6" s="35">
        <f t="shared" si="1"/>
        <v>222.21</v>
      </c>
      <c r="J6" s="35">
        <f t="shared" si="1"/>
        <v>222.221</v>
      </c>
      <c r="K6" s="35">
        <f t="shared" si="1"/>
        <v>222.22210000000001</v>
      </c>
      <c r="L6" s="35">
        <f t="shared" si="1"/>
        <v>222.22221000000002</v>
      </c>
      <c r="M6" s="35">
        <f t="shared" si="1"/>
        <v>222.22222099999999</v>
      </c>
      <c r="N6" s="36">
        <f t="shared" si="1"/>
        <v>222.22222210000001</v>
      </c>
      <c r="O6" s="37">
        <f t="shared" si="1"/>
        <v>222.22222221000001</v>
      </c>
      <c r="R6" s="13" t="s">
        <v>145</v>
      </c>
      <c r="S6" s="23">
        <v>75</v>
      </c>
      <c r="T6" s="24">
        <v>75</v>
      </c>
    </row>
    <row r="7" spans="1:20" ht="17" thickBot="1">
      <c r="B7" s="38"/>
      <c r="C7" s="39">
        <v>0.75</v>
      </c>
      <c r="D7" s="40">
        <v>0.1</v>
      </c>
      <c r="E7" s="41">
        <f>$S$6</f>
        <v>75</v>
      </c>
      <c r="F7" s="42">
        <f t="shared" ref="F7:O7" si="2">E7*$D$7+E6*$C$7</f>
        <v>82.5</v>
      </c>
      <c r="G7" s="42">
        <f t="shared" si="2"/>
        <v>165.75</v>
      </c>
      <c r="H7" s="42">
        <f t="shared" si="2"/>
        <v>182.32499999999999</v>
      </c>
      <c r="I7" s="42">
        <f t="shared" si="2"/>
        <v>184.80749999999998</v>
      </c>
      <c r="J7" s="42">
        <f t="shared" si="2"/>
        <v>185.13825</v>
      </c>
      <c r="K7" s="42">
        <f t="shared" si="2"/>
        <v>185.179575</v>
      </c>
      <c r="L7" s="42">
        <f t="shared" si="2"/>
        <v>185.18453250000002</v>
      </c>
      <c r="M7" s="42">
        <f t="shared" si="2"/>
        <v>185.18511075000001</v>
      </c>
      <c r="N7" s="42">
        <f t="shared" si="2"/>
        <v>185.18517682499999</v>
      </c>
      <c r="O7" s="42">
        <f t="shared" si="2"/>
        <v>185.18518425750003</v>
      </c>
      <c r="R7" s="13" t="s">
        <v>46</v>
      </c>
      <c r="S7" s="23">
        <v>2000</v>
      </c>
      <c r="T7" s="24">
        <v>2000</v>
      </c>
    </row>
    <row r="8" spans="1:20" ht="17" thickBot="1">
      <c r="A8" s="8"/>
      <c r="B8" s="43"/>
      <c r="C8" s="44"/>
      <c r="D8" s="45">
        <v>0.5</v>
      </c>
      <c r="E8" s="15" t="s">
        <v>158</v>
      </c>
      <c r="F8" s="46">
        <f t="shared" ref="F8:O8" si="3">E7*$D$8</f>
        <v>37.5</v>
      </c>
      <c r="G8" s="46">
        <f t="shared" si="3"/>
        <v>41.25</v>
      </c>
      <c r="H8" s="46">
        <f t="shared" si="3"/>
        <v>82.875</v>
      </c>
      <c r="I8" s="46">
        <f t="shared" si="3"/>
        <v>91.162499999999994</v>
      </c>
      <c r="J8" s="46">
        <f t="shared" si="3"/>
        <v>92.403749999999988</v>
      </c>
      <c r="K8" s="46">
        <f t="shared" si="3"/>
        <v>92.569125</v>
      </c>
      <c r="L8" s="46">
        <f t="shared" si="3"/>
        <v>92.5897875</v>
      </c>
      <c r="M8" s="46">
        <f t="shared" si="3"/>
        <v>92.592266250000009</v>
      </c>
      <c r="N8" s="46">
        <f t="shared" si="3"/>
        <v>92.592555375000003</v>
      </c>
      <c r="O8" s="46">
        <f t="shared" si="3"/>
        <v>92.592588412499993</v>
      </c>
      <c r="R8" s="13" t="s">
        <v>47</v>
      </c>
      <c r="S8" s="47">
        <f>0.02</f>
        <v>0.02</v>
      </c>
      <c r="T8" s="48">
        <v>0.02</v>
      </c>
    </row>
    <row r="9" spans="1:20" ht="17" thickBot="1">
      <c r="A9" s="8"/>
      <c r="B9" s="43">
        <f>1-B6</f>
        <v>0.19999999999999996</v>
      </c>
      <c r="C9" s="44">
        <f>1-C6-C7</f>
        <v>0.15000000000000002</v>
      </c>
      <c r="D9" s="45">
        <f>1-D7-D8</f>
        <v>0.4</v>
      </c>
      <c r="E9" s="15" t="s">
        <v>160</v>
      </c>
      <c r="F9" s="46">
        <f t="shared" ref="F9:O9" si="4">E5*$B$9+E6*$C$9+E7*$D$9</f>
        <v>94.999999999999986</v>
      </c>
      <c r="G9" s="46">
        <f t="shared" si="4"/>
        <v>114.49999999999999</v>
      </c>
      <c r="H9" s="46">
        <f t="shared" si="4"/>
        <v>149.44999999999999</v>
      </c>
      <c r="I9" s="46">
        <f t="shared" si="4"/>
        <v>156.245</v>
      </c>
      <c r="J9" s="46">
        <f t="shared" si="4"/>
        <v>157.25449999999998</v>
      </c>
      <c r="K9" s="46">
        <f t="shared" si="4"/>
        <v>157.38844999999998</v>
      </c>
      <c r="L9" s="46">
        <f t="shared" si="4"/>
        <v>157.405145</v>
      </c>
      <c r="M9" s="46">
        <f t="shared" si="4"/>
        <v>157.40714450000002</v>
      </c>
      <c r="N9" s="46">
        <f t="shared" si="4"/>
        <v>157.40737745000001</v>
      </c>
      <c r="O9" s="46">
        <f t="shared" si="4"/>
        <v>157.40740404499999</v>
      </c>
      <c r="R9" s="13" t="s">
        <v>49</v>
      </c>
      <c r="S9" s="49">
        <v>6.1850000000000004E-3</v>
      </c>
      <c r="T9" s="50">
        <v>6.1850000000000004E-3</v>
      </c>
    </row>
    <row r="10" spans="1:20" ht="17" thickBot="1">
      <c r="B10" s="43"/>
      <c r="C10" s="44"/>
      <c r="D10" s="51" t="s">
        <v>41</v>
      </c>
      <c r="E10" s="24">
        <f t="shared" ref="E10:O10" si="5">SUM(E5:E7)</f>
        <v>425</v>
      </c>
      <c r="F10" s="46">
        <f t="shared" si="5"/>
        <v>542.5</v>
      </c>
      <c r="G10" s="46">
        <f t="shared" si="5"/>
        <v>636.75</v>
      </c>
      <c r="H10" s="46">
        <f t="shared" si="5"/>
        <v>654.42499999999995</v>
      </c>
      <c r="I10" s="46">
        <f t="shared" si="5"/>
        <v>657.01750000000004</v>
      </c>
      <c r="J10" s="46">
        <f t="shared" si="5"/>
        <v>657.35924999999997</v>
      </c>
      <c r="K10" s="46">
        <f t="shared" si="5"/>
        <v>657.40167500000007</v>
      </c>
      <c r="L10" s="46">
        <f t="shared" si="5"/>
        <v>657.40674250000006</v>
      </c>
      <c r="M10" s="46">
        <f t="shared" si="5"/>
        <v>657.40733175000003</v>
      </c>
      <c r="N10" s="46">
        <f t="shared" si="5"/>
        <v>657.40739892500005</v>
      </c>
      <c r="O10" s="46">
        <f t="shared" si="5"/>
        <v>657.4074064675001</v>
      </c>
      <c r="R10" s="13" t="s">
        <v>50</v>
      </c>
      <c r="S10" s="49">
        <v>5.7390000000000002E-3</v>
      </c>
      <c r="T10" s="50">
        <v>5.7390000000000002E-3</v>
      </c>
    </row>
    <row r="11" spans="1:20" ht="17" thickBot="1">
      <c r="R11" s="13" t="s">
        <v>51</v>
      </c>
      <c r="S11" s="49">
        <v>1.0237E-2</v>
      </c>
      <c r="T11" s="50">
        <v>1.0237E-2</v>
      </c>
    </row>
    <row r="12" spans="1:20" ht="17" thickBot="1">
      <c r="B12" s="52" t="s">
        <v>162</v>
      </c>
      <c r="F12" s="2" t="s">
        <v>163</v>
      </c>
      <c r="H12" s="2" t="s">
        <v>163</v>
      </c>
      <c r="J12" s="2" t="s">
        <v>163</v>
      </c>
      <c r="R12" s="13" t="s">
        <v>52</v>
      </c>
      <c r="S12" s="49">
        <v>1.5028E-2</v>
      </c>
      <c r="T12" s="50">
        <v>1.5028E-2</v>
      </c>
    </row>
    <row r="13" spans="1:20" ht="17" thickBot="1">
      <c r="B13" s="43"/>
      <c r="C13" s="44"/>
      <c r="D13" s="53" t="s">
        <v>164</v>
      </c>
      <c r="E13" s="54">
        <f>$S$7</f>
        <v>2000</v>
      </c>
      <c r="F13" s="2" t="s">
        <v>163</v>
      </c>
      <c r="R13" s="13" t="s">
        <v>53</v>
      </c>
      <c r="S13" s="49">
        <v>6.0000000000000001E-3</v>
      </c>
      <c r="T13" s="50">
        <v>6.0000000000000001E-3</v>
      </c>
    </row>
    <row r="14" spans="1:20" ht="17" thickBot="1">
      <c r="B14" s="43"/>
      <c r="C14" s="44"/>
      <c r="D14" s="53" t="s">
        <v>165</v>
      </c>
      <c r="E14" s="55">
        <f>$S$8</f>
        <v>0.02</v>
      </c>
      <c r="R14" s="13" t="s">
        <v>54</v>
      </c>
      <c r="S14" s="49">
        <v>2E-3</v>
      </c>
      <c r="T14" s="50">
        <v>2E-3</v>
      </c>
    </row>
    <row r="15" spans="1:20" ht="17" thickBot="1">
      <c r="B15" s="43"/>
      <c r="C15" s="44"/>
      <c r="D15" s="53" t="s">
        <v>166</v>
      </c>
      <c r="E15" s="2">
        <f>E13</f>
        <v>2000</v>
      </c>
      <c r="F15" s="24">
        <f>E13*(1+$E$14)</f>
        <v>2040</v>
      </c>
      <c r="G15" s="56">
        <f t="shared" ref="G15:O15" si="6">F15*(1+$E$14)</f>
        <v>2080.8000000000002</v>
      </c>
      <c r="H15" s="56">
        <f t="shared" si="6"/>
        <v>2122.4160000000002</v>
      </c>
      <c r="I15" s="56">
        <f t="shared" si="6"/>
        <v>2164.8643200000001</v>
      </c>
      <c r="J15" s="56">
        <f t="shared" si="6"/>
        <v>2208.1616064</v>
      </c>
      <c r="K15" s="56">
        <f t="shared" si="6"/>
        <v>2252.3248385279999</v>
      </c>
      <c r="L15" s="56">
        <f t="shared" si="6"/>
        <v>2297.3713352985601</v>
      </c>
      <c r="M15" s="56">
        <f t="shared" si="6"/>
        <v>2343.3187620045314</v>
      </c>
      <c r="N15" s="56">
        <f t="shared" si="6"/>
        <v>2390.1851372446222</v>
      </c>
      <c r="O15" s="56">
        <f t="shared" si="6"/>
        <v>2437.9888399895149</v>
      </c>
      <c r="R15" s="13" t="s">
        <v>55</v>
      </c>
      <c r="S15" s="49">
        <v>4.4999999999999997E-3</v>
      </c>
      <c r="T15" s="50">
        <v>4.4999999999999997E-3</v>
      </c>
    </row>
    <row r="16" spans="1:20" ht="17" thickBot="1">
      <c r="B16" s="43"/>
      <c r="C16" s="44"/>
      <c r="D16" s="53" t="s">
        <v>167</v>
      </c>
      <c r="E16" s="45">
        <f>E10/E13</f>
        <v>0.21249999999999999</v>
      </c>
      <c r="F16" s="56">
        <f t="shared" ref="F16:O16" si="7">F10/F15</f>
        <v>0.26593137254901961</v>
      </c>
      <c r="G16" s="56">
        <f t="shared" si="7"/>
        <v>0.30601211072664358</v>
      </c>
      <c r="H16" s="56">
        <f t="shared" si="7"/>
        <v>0.30833964689297477</v>
      </c>
      <c r="I16" s="56">
        <f t="shared" si="7"/>
        <v>0.30349130609718766</v>
      </c>
      <c r="J16" s="56">
        <f t="shared" si="7"/>
        <v>0.29769526292584308</v>
      </c>
      <c r="K16" s="56">
        <f t="shared" si="7"/>
        <v>0.29187693700063394</v>
      </c>
      <c r="L16" s="56">
        <f t="shared" si="7"/>
        <v>0.28615606558639561</v>
      </c>
      <c r="M16" s="56">
        <f t="shared" si="7"/>
        <v>0.28054541379920411</v>
      </c>
      <c r="N16" s="56">
        <f t="shared" si="7"/>
        <v>0.27504455143707057</v>
      </c>
      <c r="O16" s="56">
        <f t="shared" si="7"/>
        <v>0.26965152411047438</v>
      </c>
      <c r="R16" s="13" t="s">
        <v>56</v>
      </c>
      <c r="S16" s="49">
        <v>1.1999999999999999E-3</v>
      </c>
      <c r="T16" s="50">
        <v>1.1999999999999999E-3</v>
      </c>
    </row>
    <row r="17" spans="2:20" ht="17" thickBot="1">
      <c r="E17" s="2" t="s">
        <v>163</v>
      </c>
      <c r="R17" s="13" t="s">
        <v>57</v>
      </c>
      <c r="S17" s="57">
        <v>2.5000000000000001E-4</v>
      </c>
      <c r="T17" s="58">
        <v>2.5000000000000001E-4</v>
      </c>
    </row>
    <row r="18" spans="2:20" ht="17" thickBot="1">
      <c r="B18" s="52" t="s">
        <v>0</v>
      </c>
      <c r="G18" s="2" t="s">
        <v>163</v>
      </c>
      <c r="R18" s="13" t="s">
        <v>58</v>
      </c>
      <c r="S18" s="57">
        <v>1.7000000000000001E-4</v>
      </c>
      <c r="T18" s="58">
        <v>1.7000000000000001E-4</v>
      </c>
    </row>
    <row r="19" spans="2:20" ht="17" thickBot="1">
      <c r="B19" s="59" t="s">
        <v>1</v>
      </c>
      <c r="C19" s="60"/>
      <c r="D19" s="61" t="s">
        <v>2</v>
      </c>
      <c r="E19" s="2" t="s">
        <v>163</v>
      </c>
      <c r="R19" s="13" t="s">
        <v>59</v>
      </c>
      <c r="S19" s="57">
        <v>4.0000000000000003E-5</v>
      </c>
      <c r="T19" s="58">
        <v>4.0000000000000003E-5</v>
      </c>
    </row>
    <row r="20" spans="2:20" ht="17" thickBot="1">
      <c r="B20" s="62" t="s">
        <v>3</v>
      </c>
      <c r="C20" s="63"/>
      <c r="D20" s="64" t="s">
        <v>4</v>
      </c>
      <c r="R20" s="13" t="s">
        <v>60</v>
      </c>
      <c r="S20" s="57">
        <v>3.7189E-2</v>
      </c>
      <c r="T20" s="58">
        <v>3.7189E-2</v>
      </c>
    </row>
    <row r="21" spans="2:20" ht="17" thickBot="1">
      <c r="B21" s="65" t="s">
        <v>5</v>
      </c>
      <c r="C21" s="50">
        <f>$S$9</f>
        <v>6.1850000000000004E-3</v>
      </c>
      <c r="D21" s="66" t="s">
        <v>128</v>
      </c>
      <c r="E21" s="67">
        <f t="shared" ref="E21:O21" si="8">$C$21*E10</f>
        <v>2.628625</v>
      </c>
      <c r="F21" s="68">
        <f t="shared" si="8"/>
        <v>3.3553625</v>
      </c>
      <c r="G21" s="68">
        <f t="shared" si="8"/>
        <v>3.9382987500000004</v>
      </c>
      <c r="H21" s="68">
        <f t="shared" si="8"/>
        <v>4.0476186250000001</v>
      </c>
      <c r="I21" s="68">
        <f t="shared" si="8"/>
        <v>4.0636532375000005</v>
      </c>
      <c r="J21" s="68">
        <f t="shared" si="8"/>
        <v>4.0657669612500005</v>
      </c>
      <c r="K21" s="68">
        <f t="shared" si="8"/>
        <v>4.0660293598750004</v>
      </c>
      <c r="L21" s="68">
        <f t="shared" si="8"/>
        <v>4.0660607023625008</v>
      </c>
      <c r="M21" s="68">
        <f t="shared" si="8"/>
        <v>4.0660643468737501</v>
      </c>
      <c r="N21" s="68">
        <f t="shared" si="8"/>
        <v>4.0660647623511252</v>
      </c>
      <c r="O21" s="68">
        <f t="shared" si="8"/>
        <v>4.0660648090014879</v>
      </c>
      <c r="R21" s="13" t="s">
        <v>61</v>
      </c>
      <c r="S21" s="57">
        <v>3.7188999999999998E-3</v>
      </c>
      <c r="T21" s="58">
        <v>3.7188999999999998E-3</v>
      </c>
    </row>
    <row r="22" spans="2:20" ht="17" thickBot="1">
      <c r="B22" s="65" t="s">
        <v>6</v>
      </c>
      <c r="C22" s="50">
        <f>$S$10</f>
        <v>5.7390000000000002E-3</v>
      </c>
      <c r="D22" s="66" t="s">
        <v>129</v>
      </c>
      <c r="E22" s="69">
        <f t="shared" ref="E22:O22" si="9">$C$22*E10</f>
        <v>2.4390749999999999</v>
      </c>
      <c r="F22" s="70">
        <f t="shared" si="9"/>
        <v>3.1134075000000001</v>
      </c>
      <c r="G22" s="70">
        <f t="shared" si="9"/>
        <v>3.6543082500000001</v>
      </c>
      <c r="H22" s="70">
        <f t="shared" si="9"/>
        <v>3.7557450749999997</v>
      </c>
      <c r="I22" s="70">
        <f t="shared" si="9"/>
        <v>3.7706234325000003</v>
      </c>
      <c r="J22" s="70">
        <f t="shared" si="9"/>
        <v>3.7725847357499998</v>
      </c>
      <c r="K22" s="70">
        <f t="shared" si="9"/>
        <v>3.7728282128250004</v>
      </c>
      <c r="L22" s="70">
        <f t="shared" si="9"/>
        <v>3.7728572952075003</v>
      </c>
      <c r="M22" s="70">
        <f t="shared" si="9"/>
        <v>3.7728606769132504</v>
      </c>
      <c r="N22" s="70">
        <f t="shared" si="9"/>
        <v>3.7728610624305756</v>
      </c>
      <c r="O22" s="70">
        <f t="shared" si="9"/>
        <v>3.772861105716983</v>
      </c>
      <c r="R22" s="13" t="s">
        <v>62</v>
      </c>
      <c r="S22" s="71">
        <v>76000</v>
      </c>
      <c r="T22" s="72">
        <v>38000</v>
      </c>
    </row>
    <row r="23" spans="2:20" ht="17" thickBot="1">
      <c r="B23" s="65" t="s">
        <v>7</v>
      </c>
      <c r="C23" s="50">
        <f>$S$11</f>
        <v>1.0237E-2</v>
      </c>
      <c r="D23" s="66" t="s">
        <v>130</v>
      </c>
      <c r="E23" s="69">
        <f t="shared" ref="E23:O23" si="10">$C$23*E10</f>
        <v>4.3507249999999997</v>
      </c>
      <c r="F23" s="70">
        <f t="shared" si="10"/>
        <v>5.5535724999999996</v>
      </c>
      <c r="G23" s="70">
        <f t="shared" si="10"/>
        <v>6.51840975</v>
      </c>
      <c r="H23" s="70">
        <f t="shared" si="10"/>
        <v>6.6993487249999992</v>
      </c>
      <c r="I23" s="70">
        <f t="shared" si="10"/>
        <v>6.7258881475000001</v>
      </c>
      <c r="J23" s="70">
        <f t="shared" si="10"/>
        <v>6.7293866422499997</v>
      </c>
      <c r="K23" s="70">
        <f t="shared" si="10"/>
        <v>6.7298209469750008</v>
      </c>
      <c r="L23" s="70">
        <f t="shared" si="10"/>
        <v>6.7298728229725002</v>
      </c>
      <c r="M23" s="70">
        <f t="shared" si="10"/>
        <v>6.7298788551247499</v>
      </c>
      <c r="N23" s="70">
        <f t="shared" si="10"/>
        <v>6.7298795427952252</v>
      </c>
      <c r="O23" s="70">
        <f t="shared" si="10"/>
        <v>6.7298796200077984</v>
      </c>
      <c r="R23" s="13" t="s">
        <v>63</v>
      </c>
      <c r="S23" s="71">
        <v>68000</v>
      </c>
      <c r="T23" s="72">
        <v>34000</v>
      </c>
    </row>
    <row r="24" spans="2:20" ht="17" thickBot="1">
      <c r="B24" s="61" t="s">
        <v>8</v>
      </c>
      <c r="C24" s="73">
        <f>$S$12</f>
        <v>1.5028E-2</v>
      </c>
      <c r="D24" s="74" t="s">
        <v>131</v>
      </c>
      <c r="E24" s="75">
        <f t="shared" ref="E24:O24" si="11">$C$24*E10</f>
        <v>6.3868999999999998</v>
      </c>
      <c r="F24" s="76">
        <f t="shared" si="11"/>
        <v>8.1526899999999998</v>
      </c>
      <c r="G24" s="76">
        <f t="shared" si="11"/>
        <v>9.5690790000000003</v>
      </c>
      <c r="H24" s="76">
        <f t="shared" si="11"/>
        <v>9.8346988999999994</v>
      </c>
      <c r="I24" s="76">
        <f t="shared" si="11"/>
        <v>9.8736589900000009</v>
      </c>
      <c r="J24" s="76">
        <f t="shared" si="11"/>
        <v>9.8787948089999986</v>
      </c>
      <c r="K24" s="76">
        <f t="shared" si="11"/>
        <v>9.8794323719000001</v>
      </c>
      <c r="L24" s="76">
        <f t="shared" si="11"/>
        <v>9.8795085262900013</v>
      </c>
      <c r="M24" s="76">
        <f t="shared" si="11"/>
        <v>9.8795173815389994</v>
      </c>
      <c r="N24" s="76">
        <f t="shared" si="11"/>
        <v>9.8795183910449005</v>
      </c>
      <c r="O24" s="76">
        <f t="shared" si="11"/>
        <v>9.8795185043935909</v>
      </c>
      <c r="R24" s="13" t="s">
        <v>64</v>
      </c>
      <c r="S24" s="71">
        <v>58000</v>
      </c>
      <c r="T24" s="72">
        <v>29000</v>
      </c>
    </row>
    <row r="25" spans="2:20" ht="17" thickBot="1">
      <c r="B25" s="43"/>
      <c r="C25" s="44" t="s">
        <v>9</v>
      </c>
      <c r="D25" s="45"/>
      <c r="E25" s="56">
        <f t="shared" ref="E25:O25" si="12">SUM(E21:E24)</f>
        <v>15.805325</v>
      </c>
      <c r="F25" s="56">
        <f t="shared" si="12"/>
        <v>20.1750325</v>
      </c>
      <c r="G25" s="56">
        <f t="shared" si="12"/>
        <v>23.68009575</v>
      </c>
      <c r="H25" s="56">
        <f t="shared" si="12"/>
        <v>24.337411324999998</v>
      </c>
      <c r="I25" s="56">
        <f t="shared" si="12"/>
        <v>24.433823807500005</v>
      </c>
      <c r="J25" s="56">
        <f t="shared" si="12"/>
        <v>24.446533148249998</v>
      </c>
      <c r="K25" s="56">
        <f t="shared" si="12"/>
        <v>24.448110891574999</v>
      </c>
      <c r="L25" s="56">
        <f t="shared" si="12"/>
        <v>24.448299346832503</v>
      </c>
      <c r="M25" s="56">
        <f t="shared" si="12"/>
        <v>24.448321260450751</v>
      </c>
      <c r="N25" s="56">
        <f t="shared" si="12"/>
        <v>24.448323758621825</v>
      </c>
      <c r="O25" s="56">
        <f t="shared" si="12"/>
        <v>24.448324039119861</v>
      </c>
      <c r="R25" s="13" t="s">
        <v>65</v>
      </c>
      <c r="S25" s="71">
        <v>46000</v>
      </c>
      <c r="T25" s="72">
        <v>23000</v>
      </c>
    </row>
    <row r="26" spans="2:20" ht="17" thickBot="1">
      <c r="B26" s="43"/>
      <c r="C26" s="77"/>
      <c r="D26" s="53" t="s">
        <v>10</v>
      </c>
      <c r="E26" s="56">
        <f t="shared" ref="E26:O26" si="13">E10/E25</f>
        <v>26.889671677108822</v>
      </c>
      <c r="F26" s="56">
        <f t="shared" si="13"/>
        <v>26.889671677108822</v>
      </c>
      <c r="G26" s="56">
        <f t="shared" si="13"/>
        <v>26.889671677108822</v>
      </c>
      <c r="H26" s="56">
        <f t="shared" si="13"/>
        <v>26.889671677108822</v>
      </c>
      <c r="I26" s="56">
        <f t="shared" si="13"/>
        <v>26.889671677108819</v>
      </c>
      <c r="J26" s="56">
        <f t="shared" si="13"/>
        <v>26.889671677108826</v>
      </c>
      <c r="K26" s="56">
        <f t="shared" si="13"/>
        <v>26.889671677108826</v>
      </c>
      <c r="L26" s="56">
        <f t="shared" si="13"/>
        <v>26.889671677108822</v>
      </c>
      <c r="M26" s="56">
        <f t="shared" si="13"/>
        <v>26.889671677108822</v>
      </c>
      <c r="N26" s="56">
        <f t="shared" si="13"/>
        <v>26.889671677108826</v>
      </c>
      <c r="O26" s="56">
        <f t="shared" si="13"/>
        <v>26.889671677108822</v>
      </c>
      <c r="R26" s="13" t="s">
        <v>66</v>
      </c>
      <c r="S26" s="78">
        <v>90000</v>
      </c>
      <c r="T26" s="79">
        <v>40000</v>
      </c>
    </row>
    <row r="27" spans="2:20" ht="17" thickBot="1">
      <c r="D27" s="12" t="s">
        <v>163</v>
      </c>
      <c r="F27" s="2" t="s">
        <v>163</v>
      </c>
      <c r="R27" s="13" t="s">
        <v>67</v>
      </c>
      <c r="S27" s="78">
        <v>70000</v>
      </c>
      <c r="T27" s="79">
        <v>28000</v>
      </c>
    </row>
    <row r="28" spans="2:20" ht="17" thickBot="1">
      <c r="B28" s="80" t="s">
        <v>11</v>
      </c>
      <c r="C28" s="80"/>
      <c r="D28" s="80"/>
      <c r="R28" s="13" t="s">
        <v>68</v>
      </c>
      <c r="S28" s="78">
        <v>60000</v>
      </c>
      <c r="T28" s="79">
        <v>21000</v>
      </c>
    </row>
    <row r="29" spans="2:20" ht="17" thickBot="1">
      <c r="B29" s="65" t="s">
        <v>12</v>
      </c>
      <c r="C29" s="50">
        <f>$S$13</f>
        <v>6.0000000000000001E-3</v>
      </c>
      <c r="D29" s="66" t="s">
        <v>13</v>
      </c>
      <c r="E29" s="56">
        <f t="shared" ref="E29:O29" si="14">E10*$C$29</f>
        <v>2.5500000000000003</v>
      </c>
      <c r="F29" s="56">
        <f t="shared" si="14"/>
        <v>3.2549999999999999</v>
      </c>
      <c r="G29" s="56">
        <f t="shared" si="14"/>
        <v>3.8205</v>
      </c>
      <c r="H29" s="56">
        <f t="shared" si="14"/>
        <v>3.9265499999999998</v>
      </c>
      <c r="I29" s="56">
        <f t="shared" si="14"/>
        <v>3.9421050000000002</v>
      </c>
      <c r="J29" s="56">
        <f t="shared" si="14"/>
        <v>3.9441554999999999</v>
      </c>
      <c r="K29" s="56">
        <f t="shared" si="14"/>
        <v>3.9444100500000006</v>
      </c>
      <c r="L29" s="56">
        <f t="shared" si="14"/>
        <v>3.9444404550000005</v>
      </c>
      <c r="M29" s="56">
        <f t="shared" si="14"/>
        <v>3.9444439905000004</v>
      </c>
      <c r="N29" s="56">
        <f t="shared" si="14"/>
        <v>3.9444443935500004</v>
      </c>
      <c r="O29" s="56">
        <f t="shared" si="14"/>
        <v>3.9444444388050006</v>
      </c>
      <c r="R29" s="13" t="s">
        <v>69</v>
      </c>
      <c r="S29" s="78">
        <v>50000</v>
      </c>
      <c r="T29" s="79">
        <v>15000</v>
      </c>
    </row>
    <row r="30" spans="2:20" ht="17" thickBot="1">
      <c r="B30" s="65" t="s">
        <v>14</v>
      </c>
      <c r="C30" s="50">
        <f>$S$14</f>
        <v>2E-3</v>
      </c>
      <c r="D30" s="66" t="s">
        <v>15</v>
      </c>
      <c r="E30" s="56">
        <f t="shared" ref="E30:O30" si="15">E10*$C$30</f>
        <v>0.85</v>
      </c>
      <c r="F30" s="56">
        <f t="shared" si="15"/>
        <v>1.085</v>
      </c>
      <c r="G30" s="56">
        <f t="shared" si="15"/>
        <v>1.2735000000000001</v>
      </c>
      <c r="H30" s="56">
        <f t="shared" si="15"/>
        <v>1.3088499999999998</v>
      </c>
      <c r="I30" s="56">
        <f t="shared" si="15"/>
        <v>1.3140350000000001</v>
      </c>
      <c r="J30" s="56">
        <f t="shared" si="15"/>
        <v>1.3147184999999999</v>
      </c>
      <c r="K30" s="56">
        <f t="shared" si="15"/>
        <v>1.3148033500000003</v>
      </c>
      <c r="L30" s="56">
        <f t="shared" si="15"/>
        <v>1.3148134850000002</v>
      </c>
      <c r="M30" s="56">
        <f t="shared" si="15"/>
        <v>1.3148146635</v>
      </c>
      <c r="N30" s="56">
        <f t="shared" si="15"/>
        <v>1.3148147978500002</v>
      </c>
      <c r="O30" s="56">
        <f t="shared" si="15"/>
        <v>1.3148148129350001</v>
      </c>
      <c r="R30" s="13" t="s">
        <v>70</v>
      </c>
      <c r="S30" s="81">
        <v>90000</v>
      </c>
      <c r="T30" s="81">
        <v>35000</v>
      </c>
    </row>
    <row r="31" spans="2:20" ht="17" thickBot="1">
      <c r="B31" s="65" t="s">
        <v>16</v>
      </c>
      <c r="C31" s="50">
        <f>$S$15</f>
        <v>4.4999999999999997E-3</v>
      </c>
      <c r="D31" s="66" t="s">
        <v>17</v>
      </c>
      <c r="E31" s="56">
        <f t="shared" ref="E31:O31" si="16">E10*$C$31</f>
        <v>1.9124999999999999</v>
      </c>
      <c r="F31" s="56">
        <f t="shared" si="16"/>
        <v>2.4412499999999997</v>
      </c>
      <c r="G31" s="56">
        <f t="shared" si="16"/>
        <v>2.8653749999999998</v>
      </c>
      <c r="H31" s="56">
        <f t="shared" si="16"/>
        <v>2.9449124999999996</v>
      </c>
      <c r="I31" s="56">
        <f t="shared" si="16"/>
        <v>2.9565787499999998</v>
      </c>
      <c r="J31" s="56">
        <f t="shared" si="16"/>
        <v>2.9581166249999997</v>
      </c>
      <c r="K31" s="56">
        <f t="shared" si="16"/>
        <v>2.9583075375000001</v>
      </c>
      <c r="L31" s="56">
        <f t="shared" si="16"/>
        <v>2.9583303412499999</v>
      </c>
      <c r="M31" s="56">
        <f t="shared" si="16"/>
        <v>2.958332992875</v>
      </c>
      <c r="N31" s="56">
        <f t="shared" si="16"/>
        <v>2.9583332951624999</v>
      </c>
      <c r="O31" s="56">
        <f t="shared" si="16"/>
        <v>2.9583333291037501</v>
      </c>
      <c r="R31" s="13" t="s">
        <v>71</v>
      </c>
      <c r="S31" s="81">
        <v>60000</v>
      </c>
      <c r="T31" s="81">
        <v>30000</v>
      </c>
    </row>
    <row r="32" spans="2:20" ht="17" thickBot="1">
      <c r="B32" s="65" t="s">
        <v>18</v>
      </c>
      <c r="C32" s="50">
        <f>$S$16</f>
        <v>1.1999999999999999E-3</v>
      </c>
      <c r="D32" s="66" t="s">
        <v>19</v>
      </c>
      <c r="E32" s="56">
        <f t="shared" ref="E32:O32" si="17">E10*$C$32</f>
        <v>0.51</v>
      </c>
      <c r="F32" s="56">
        <f t="shared" si="17"/>
        <v>0.65099999999999991</v>
      </c>
      <c r="G32" s="56">
        <f t="shared" si="17"/>
        <v>0.76409999999999989</v>
      </c>
      <c r="H32" s="56">
        <f t="shared" si="17"/>
        <v>0.78530999999999984</v>
      </c>
      <c r="I32" s="56">
        <f t="shared" si="17"/>
        <v>0.78842099999999993</v>
      </c>
      <c r="J32" s="56">
        <f t="shared" si="17"/>
        <v>0.7888310999999999</v>
      </c>
      <c r="K32" s="56">
        <f t="shared" si="17"/>
        <v>0.78888201000000002</v>
      </c>
      <c r="L32" s="56">
        <f t="shared" si="17"/>
        <v>0.78888809100000001</v>
      </c>
      <c r="M32" s="56">
        <f t="shared" si="17"/>
        <v>0.78888879810000001</v>
      </c>
      <c r="N32" s="56">
        <f t="shared" si="17"/>
        <v>0.78888887871000002</v>
      </c>
      <c r="O32" s="56">
        <f t="shared" si="17"/>
        <v>0.78888888776100008</v>
      </c>
      <c r="R32" s="13" t="s">
        <v>72</v>
      </c>
      <c r="S32" s="81">
        <v>100000</v>
      </c>
      <c r="T32" s="81">
        <v>70000</v>
      </c>
    </row>
    <row r="33" spans="1:20" ht="17" thickBot="1">
      <c r="R33" s="13" t="s">
        <v>73</v>
      </c>
      <c r="S33" s="48">
        <v>0.1</v>
      </c>
      <c r="T33" s="48">
        <v>0.1</v>
      </c>
    </row>
    <row r="34" spans="1:20" ht="17" thickBot="1">
      <c r="A34" s="2" t="s">
        <v>163</v>
      </c>
      <c r="B34" s="52" t="s">
        <v>20</v>
      </c>
      <c r="C34" s="52"/>
      <c r="D34" s="52"/>
      <c r="R34" s="13" t="s">
        <v>74</v>
      </c>
      <c r="S34" s="56">
        <v>25</v>
      </c>
      <c r="T34" s="56">
        <v>25</v>
      </c>
    </row>
    <row r="35" spans="1:20" ht="17" thickBot="1">
      <c r="B35" s="65" t="s">
        <v>21</v>
      </c>
      <c r="C35" s="58">
        <f>$S$17</f>
        <v>2.5000000000000001E-4</v>
      </c>
      <c r="D35" s="66" t="s">
        <v>22</v>
      </c>
      <c r="E35" s="50">
        <f t="shared" ref="E35:O35" si="18">E10*$C$35</f>
        <v>0.10625</v>
      </c>
      <c r="F35" s="50">
        <f t="shared" si="18"/>
        <v>0.135625</v>
      </c>
      <c r="G35" s="50">
        <f t="shared" si="18"/>
        <v>0.15918750000000001</v>
      </c>
      <c r="H35" s="50">
        <f t="shared" si="18"/>
        <v>0.16360624999999998</v>
      </c>
      <c r="I35" s="50">
        <f t="shared" si="18"/>
        <v>0.16425437500000001</v>
      </c>
      <c r="J35" s="50">
        <f t="shared" si="18"/>
        <v>0.16433981249999999</v>
      </c>
      <c r="K35" s="50">
        <f t="shared" si="18"/>
        <v>0.16435041875000003</v>
      </c>
      <c r="L35" s="50">
        <f t="shared" si="18"/>
        <v>0.16435168562500002</v>
      </c>
      <c r="M35" s="50">
        <f t="shared" si="18"/>
        <v>0.1643518329375</v>
      </c>
      <c r="N35" s="50">
        <f t="shared" si="18"/>
        <v>0.16435184973125003</v>
      </c>
      <c r="O35" s="50">
        <f t="shared" si="18"/>
        <v>0.16435185161687502</v>
      </c>
      <c r="R35" s="13" t="s">
        <v>75</v>
      </c>
      <c r="S35" s="81">
        <v>125000</v>
      </c>
      <c r="T35" s="81">
        <v>40335</v>
      </c>
    </row>
    <row r="36" spans="1:20" ht="17" thickBot="1">
      <c r="B36" s="65" t="s">
        <v>23</v>
      </c>
      <c r="C36" s="58">
        <f>$S$18</f>
        <v>1.7000000000000001E-4</v>
      </c>
      <c r="D36" s="66" t="s">
        <v>24</v>
      </c>
      <c r="E36" s="50">
        <f t="shared" ref="E36:O36" si="19">E10*$C$36</f>
        <v>7.2250000000000009E-2</v>
      </c>
      <c r="F36" s="50">
        <f t="shared" si="19"/>
        <v>9.2225000000000001E-2</v>
      </c>
      <c r="G36" s="50">
        <f t="shared" si="19"/>
        <v>0.10824750000000001</v>
      </c>
      <c r="H36" s="50">
        <f t="shared" si="19"/>
        <v>0.11125225</v>
      </c>
      <c r="I36" s="50">
        <f t="shared" si="19"/>
        <v>0.11169297500000001</v>
      </c>
      <c r="J36" s="50">
        <f t="shared" si="19"/>
        <v>0.11175107250000001</v>
      </c>
      <c r="K36" s="50">
        <f t="shared" si="19"/>
        <v>0.11175828475000002</v>
      </c>
      <c r="L36" s="50">
        <f t="shared" si="19"/>
        <v>0.11175914622500002</v>
      </c>
      <c r="M36" s="50">
        <f t="shared" si="19"/>
        <v>0.11175924639750001</v>
      </c>
      <c r="N36" s="50">
        <f t="shared" si="19"/>
        <v>0.11175925781725002</v>
      </c>
      <c r="O36" s="50">
        <f t="shared" si="19"/>
        <v>0.11175925909947503</v>
      </c>
      <c r="R36" s="13" t="s">
        <v>76</v>
      </c>
      <c r="S36" s="48">
        <v>0.1</v>
      </c>
      <c r="T36" s="48">
        <v>0.1</v>
      </c>
    </row>
    <row r="37" spans="1:20" ht="17" thickBot="1">
      <c r="B37" s="65" t="s">
        <v>25</v>
      </c>
      <c r="C37" s="58">
        <f>$S$19</f>
        <v>4.0000000000000003E-5</v>
      </c>
      <c r="D37" s="66" t="s">
        <v>26</v>
      </c>
      <c r="E37" s="50">
        <f t="shared" ref="E37:O37" si="20">E10*$C$37</f>
        <v>1.7000000000000001E-2</v>
      </c>
      <c r="F37" s="50">
        <f t="shared" si="20"/>
        <v>2.1700000000000001E-2</v>
      </c>
      <c r="G37" s="50">
        <f t="shared" si="20"/>
        <v>2.5470000000000003E-2</v>
      </c>
      <c r="H37" s="50">
        <f t="shared" si="20"/>
        <v>2.6176999999999999E-2</v>
      </c>
      <c r="I37" s="50">
        <f t="shared" si="20"/>
        <v>2.6280700000000004E-2</v>
      </c>
      <c r="J37" s="50">
        <f t="shared" si="20"/>
        <v>2.6294370000000001E-2</v>
      </c>
      <c r="K37" s="50">
        <f t="shared" si="20"/>
        <v>2.6296067000000006E-2</v>
      </c>
      <c r="L37" s="50">
        <f t="shared" si="20"/>
        <v>2.6296269700000003E-2</v>
      </c>
      <c r="M37" s="50">
        <f t="shared" si="20"/>
        <v>2.6296293270000003E-2</v>
      </c>
      <c r="N37" s="50">
        <f t="shared" si="20"/>
        <v>2.6296295957000004E-2</v>
      </c>
      <c r="O37" s="50">
        <f t="shared" si="20"/>
        <v>2.6296296258700006E-2</v>
      </c>
      <c r="R37" s="13" t="s">
        <v>77</v>
      </c>
      <c r="S37" s="56">
        <v>25</v>
      </c>
      <c r="T37" s="56">
        <v>25</v>
      </c>
    </row>
    <row r="38" spans="1:20" ht="17" thickBot="1">
      <c r="R38" s="13" t="s">
        <v>78</v>
      </c>
      <c r="S38" s="81">
        <v>415200</v>
      </c>
      <c r="T38" s="81">
        <v>215117</v>
      </c>
    </row>
    <row r="39" spans="1:20" ht="17" thickBot="1">
      <c r="B39" s="52" t="s">
        <v>27</v>
      </c>
      <c r="R39" s="13" t="s">
        <v>81</v>
      </c>
      <c r="S39" s="82">
        <v>400</v>
      </c>
      <c r="T39" s="82">
        <v>200</v>
      </c>
    </row>
    <row r="40" spans="1:20" ht="17" thickBot="1">
      <c r="B40" s="43"/>
      <c r="C40" s="53" t="s">
        <v>28</v>
      </c>
      <c r="D40" s="58">
        <f>$S$20</f>
        <v>3.7189E-2</v>
      </c>
      <c r="E40" s="56">
        <f t="shared" ref="E40:O40" si="21">E10*$D$40</f>
        <v>15.805325</v>
      </c>
      <c r="F40" s="56">
        <f t="shared" si="21"/>
        <v>20.1750325</v>
      </c>
      <c r="G40" s="56">
        <f t="shared" si="21"/>
        <v>23.68009575</v>
      </c>
      <c r="H40" s="56">
        <f t="shared" si="21"/>
        <v>24.337411324999998</v>
      </c>
      <c r="I40" s="56">
        <f t="shared" si="21"/>
        <v>24.433823807500001</v>
      </c>
      <c r="J40" s="56">
        <f t="shared" si="21"/>
        <v>24.446533148249998</v>
      </c>
      <c r="K40" s="56">
        <f t="shared" si="21"/>
        <v>24.448110891575002</v>
      </c>
      <c r="L40" s="56">
        <f t="shared" si="21"/>
        <v>24.448299346832503</v>
      </c>
      <c r="M40" s="56">
        <f t="shared" si="21"/>
        <v>24.448321260450751</v>
      </c>
      <c r="N40" s="56">
        <f t="shared" si="21"/>
        <v>24.448323758621825</v>
      </c>
      <c r="O40" s="56">
        <f t="shared" si="21"/>
        <v>24.448324039119861</v>
      </c>
      <c r="R40" s="13" t="s">
        <v>82</v>
      </c>
      <c r="S40" s="82">
        <v>3600</v>
      </c>
      <c r="T40" s="82">
        <v>1800</v>
      </c>
    </row>
    <row r="41" spans="1:20" ht="17" thickBot="1">
      <c r="B41" s="59"/>
      <c r="C41" s="83" t="s">
        <v>29</v>
      </c>
      <c r="D41" s="84">
        <f>$S$21</f>
        <v>3.7188999999999998E-3</v>
      </c>
      <c r="E41" s="56">
        <f t="shared" ref="E41:O41" si="22">E10*$D$41</f>
        <v>1.5805324999999999</v>
      </c>
      <c r="F41" s="56">
        <f t="shared" si="22"/>
        <v>2.0175032499999999</v>
      </c>
      <c r="G41" s="56">
        <f t="shared" si="22"/>
        <v>2.3680095749999999</v>
      </c>
      <c r="H41" s="56">
        <f t="shared" si="22"/>
        <v>2.4337411324999998</v>
      </c>
      <c r="I41" s="56">
        <f t="shared" si="22"/>
        <v>2.4433823807500001</v>
      </c>
      <c r="J41" s="56">
        <f t="shared" si="22"/>
        <v>2.4446533148249996</v>
      </c>
      <c r="K41" s="56">
        <f t="shared" si="22"/>
        <v>2.4448110891575001</v>
      </c>
      <c r="L41" s="56">
        <f t="shared" si="22"/>
        <v>2.4448299346832503</v>
      </c>
      <c r="M41" s="56">
        <f t="shared" si="22"/>
        <v>2.4448321260450752</v>
      </c>
      <c r="N41" s="56">
        <f t="shared" si="22"/>
        <v>2.4448323758621826</v>
      </c>
      <c r="O41" s="56">
        <f t="shared" si="22"/>
        <v>2.444832403911986</v>
      </c>
      <c r="R41" s="13" t="s">
        <v>83</v>
      </c>
      <c r="S41" s="82">
        <v>4600</v>
      </c>
      <c r="T41" s="82">
        <v>2300</v>
      </c>
    </row>
    <row r="42" spans="1:20" ht="17" thickBot="1">
      <c r="B42" s="43"/>
      <c r="C42" s="77"/>
      <c r="D42" s="53" t="s">
        <v>30</v>
      </c>
      <c r="E42" s="56">
        <f t="shared" ref="E42:O42" si="23">E10/E40</f>
        <v>26.889671677108822</v>
      </c>
      <c r="F42" s="56">
        <f t="shared" si="23"/>
        <v>26.889671677108822</v>
      </c>
      <c r="G42" s="56">
        <f t="shared" si="23"/>
        <v>26.889671677108822</v>
      </c>
      <c r="H42" s="56">
        <f t="shared" si="23"/>
        <v>26.889671677108822</v>
      </c>
      <c r="I42" s="56">
        <f t="shared" si="23"/>
        <v>26.889671677108822</v>
      </c>
      <c r="J42" s="56">
        <f t="shared" si="23"/>
        <v>26.889671677108826</v>
      </c>
      <c r="K42" s="56">
        <f t="shared" si="23"/>
        <v>26.889671677108822</v>
      </c>
      <c r="L42" s="56">
        <f t="shared" si="23"/>
        <v>26.889671677108822</v>
      </c>
      <c r="M42" s="56">
        <f t="shared" si="23"/>
        <v>26.889671677108822</v>
      </c>
      <c r="N42" s="56">
        <f t="shared" si="23"/>
        <v>26.889671677108826</v>
      </c>
      <c r="O42" s="56">
        <f t="shared" si="23"/>
        <v>26.889671677108822</v>
      </c>
      <c r="R42" s="13" t="s">
        <v>84</v>
      </c>
      <c r="S42" s="82">
        <v>5600</v>
      </c>
      <c r="T42" s="82">
        <v>2800</v>
      </c>
    </row>
    <row r="43" spans="1:20" ht="17" thickBot="1">
      <c r="B43" s="43"/>
      <c r="C43" s="77"/>
      <c r="D43" s="53" t="s">
        <v>31</v>
      </c>
      <c r="E43" s="56">
        <f t="shared" ref="E43:O43" si="24">E10/E41</f>
        <v>268.89671677108822</v>
      </c>
      <c r="F43" s="56">
        <f t="shared" si="24"/>
        <v>268.89671677108822</v>
      </c>
      <c r="G43" s="56">
        <f t="shared" si="24"/>
        <v>268.89671677108822</v>
      </c>
      <c r="H43" s="56">
        <f t="shared" si="24"/>
        <v>268.89671677108822</v>
      </c>
      <c r="I43" s="56">
        <f t="shared" si="24"/>
        <v>268.89671677108822</v>
      </c>
      <c r="J43" s="56">
        <f t="shared" si="24"/>
        <v>268.89671677108828</v>
      </c>
      <c r="K43" s="56">
        <f t="shared" si="24"/>
        <v>268.89671677108822</v>
      </c>
      <c r="L43" s="56">
        <f t="shared" si="24"/>
        <v>268.89671677108822</v>
      </c>
      <c r="M43" s="56">
        <f t="shared" si="24"/>
        <v>268.89671677108822</v>
      </c>
      <c r="N43" s="56">
        <f t="shared" si="24"/>
        <v>268.89671677108822</v>
      </c>
      <c r="O43" s="56">
        <f t="shared" si="24"/>
        <v>268.89671677108822</v>
      </c>
      <c r="R43" s="13" t="s">
        <v>85</v>
      </c>
      <c r="S43" s="82">
        <v>6000</v>
      </c>
      <c r="T43" s="82">
        <v>3000</v>
      </c>
    </row>
    <row r="44" spans="1:20" ht="17" thickBot="1">
      <c r="B44" s="85"/>
      <c r="C44" s="86"/>
      <c r="D44" s="87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R44" s="13" t="s">
        <v>86</v>
      </c>
      <c r="S44" s="82">
        <v>9000</v>
      </c>
      <c r="T44" s="82">
        <v>4500</v>
      </c>
    </row>
    <row r="45" spans="1:20" ht="17" thickBot="1">
      <c r="B45" s="85"/>
      <c r="C45" s="86"/>
      <c r="D45" s="87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R45" s="13" t="s">
        <v>87</v>
      </c>
      <c r="S45" s="82">
        <v>13000</v>
      </c>
      <c r="T45" s="82">
        <v>6500</v>
      </c>
    </row>
    <row r="46" spans="1:20">
      <c r="B46" s="85"/>
      <c r="C46" s="86"/>
      <c r="D46" s="87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20">
      <c r="B47" s="85"/>
      <c r="C47" s="86"/>
      <c r="D47" s="87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1:20">
      <c r="B48" s="85"/>
      <c r="C48" s="86"/>
      <c r="D48" s="87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2:15">
      <c r="B49" s="85"/>
      <c r="C49" s="86"/>
      <c r="D49" s="87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>
      <c r="B50" s="85"/>
      <c r="C50" s="86"/>
      <c r="D50" s="87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5">
      <c r="B51" s="85"/>
      <c r="C51" s="86"/>
      <c r="D51" s="87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2:15">
      <c r="B52" s="85"/>
      <c r="C52" s="86"/>
      <c r="D52" s="87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2:15">
      <c r="B53" s="85"/>
      <c r="C53" s="86"/>
      <c r="D53" s="87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2:15">
      <c r="B54" s="85"/>
      <c r="C54" s="86"/>
      <c r="D54" s="87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2:15">
      <c r="B55" s="85"/>
      <c r="C55" s="86"/>
      <c r="D55" s="87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2:15">
      <c r="B56" s="85"/>
      <c r="C56" s="86"/>
      <c r="D56" s="87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2:15">
      <c r="B57" s="85"/>
      <c r="C57" s="86"/>
      <c r="D57" s="87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2:15">
      <c r="B58" s="85"/>
      <c r="C58" s="86"/>
      <c r="D58" s="87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2:15">
      <c r="B59" s="85"/>
      <c r="C59" s="86"/>
      <c r="D59" s="87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2:15">
      <c r="B60" s="85"/>
      <c r="C60" s="86"/>
      <c r="D60" s="87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2:15">
      <c r="B61" s="85"/>
      <c r="C61" s="86"/>
      <c r="D61" s="87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</row>
    <row r="62" spans="2:15">
      <c r="B62" s="85"/>
      <c r="C62" s="86"/>
      <c r="D62" s="87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</row>
    <row r="63" spans="2:15">
      <c r="B63" s="85"/>
      <c r="C63" s="86"/>
      <c r="D63" s="87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</row>
    <row r="64" spans="2:15">
      <c r="B64" s="85"/>
      <c r="C64" s="86"/>
      <c r="D64" s="87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</row>
    <row r="65" spans="1:15">
      <c r="B65" s="85"/>
      <c r="C65" s="86"/>
      <c r="D65" s="87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</row>
    <row r="66" spans="1:15">
      <c r="B66" s="85"/>
      <c r="C66" s="86"/>
      <c r="D66" s="87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</row>
    <row r="67" spans="1:15">
      <c r="B67" s="85"/>
      <c r="C67" s="86"/>
      <c r="D67" s="87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</row>
    <row r="68" spans="1:15">
      <c r="B68" s="85"/>
      <c r="C68" s="86"/>
      <c r="D68" s="87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</row>
    <row r="69" spans="1:15">
      <c r="B69" s="85"/>
      <c r="C69" s="86"/>
      <c r="D69" s="87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</row>
    <row r="70" spans="1:15">
      <c r="B70" s="85"/>
      <c r="C70" s="86"/>
      <c r="D70" s="87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</row>
    <row r="71" spans="1:15">
      <c r="B71" s="85"/>
      <c r="C71" s="86"/>
      <c r="D71" s="87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</row>
    <row r="72" spans="1:15" ht="17" thickBot="1">
      <c r="B72" s="85"/>
      <c r="C72" s="86"/>
      <c r="D72" s="87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</row>
    <row r="73" spans="1:15" ht="17" thickBot="1">
      <c r="A73" s="2" t="s">
        <v>163</v>
      </c>
      <c r="B73" s="52" t="s">
        <v>32</v>
      </c>
      <c r="E73" s="2" t="s">
        <v>163</v>
      </c>
      <c r="H73" s="88"/>
      <c r="I73" s="1" t="s">
        <v>132</v>
      </c>
      <c r="J73" s="89"/>
    </row>
    <row r="74" spans="1:15" ht="17" thickBot="1">
      <c r="B74" s="12" t="s">
        <v>33</v>
      </c>
      <c r="E74" s="2" t="s">
        <v>163</v>
      </c>
    </row>
    <row r="75" spans="1:15" ht="17" thickBot="1">
      <c r="B75" s="65" t="s">
        <v>5</v>
      </c>
      <c r="C75" s="72">
        <f>$S$22</f>
        <v>76000</v>
      </c>
      <c r="E75" s="90">
        <f t="shared" ref="E75:O75" si="25">E21*$C$75</f>
        <v>199775.5</v>
      </c>
      <c r="F75" s="90">
        <f t="shared" si="25"/>
        <v>255007.55</v>
      </c>
      <c r="G75" s="90">
        <f t="shared" si="25"/>
        <v>299310.70500000002</v>
      </c>
      <c r="H75" s="90">
        <f t="shared" si="25"/>
        <v>307619.01550000004</v>
      </c>
      <c r="I75" s="90">
        <f t="shared" si="25"/>
        <v>308837.64605000004</v>
      </c>
      <c r="J75" s="90">
        <f t="shared" si="25"/>
        <v>308998.28905500006</v>
      </c>
      <c r="K75" s="90">
        <f t="shared" si="25"/>
        <v>309018.23135050002</v>
      </c>
      <c r="L75" s="90">
        <f t="shared" si="25"/>
        <v>309020.61337955005</v>
      </c>
      <c r="M75" s="90">
        <f t="shared" si="25"/>
        <v>309020.89036240499</v>
      </c>
      <c r="N75" s="90">
        <f t="shared" si="25"/>
        <v>309020.92193868553</v>
      </c>
      <c r="O75" s="90">
        <f t="shared" si="25"/>
        <v>309020.9254841131</v>
      </c>
    </row>
    <row r="76" spans="1:15" ht="17" thickBot="1">
      <c r="B76" s="65" t="s">
        <v>6</v>
      </c>
      <c r="C76" s="72">
        <f>$S$23</f>
        <v>68000</v>
      </c>
      <c r="E76" s="91">
        <f t="shared" ref="E76:O76" si="26">E22*$C$76</f>
        <v>165857.1</v>
      </c>
      <c r="F76" s="91">
        <f t="shared" si="26"/>
        <v>211711.71000000002</v>
      </c>
      <c r="G76" s="91">
        <f t="shared" si="26"/>
        <v>248492.96100000001</v>
      </c>
      <c r="H76" s="91">
        <f t="shared" si="26"/>
        <v>255390.66509999998</v>
      </c>
      <c r="I76" s="91">
        <f t="shared" si="26"/>
        <v>256402.39341000002</v>
      </c>
      <c r="J76" s="91">
        <f t="shared" si="26"/>
        <v>256535.76203099999</v>
      </c>
      <c r="K76" s="91">
        <f t="shared" si="26"/>
        <v>256552.31847210001</v>
      </c>
      <c r="L76" s="91">
        <f t="shared" si="26"/>
        <v>256554.29607411003</v>
      </c>
      <c r="M76" s="91">
        <f t="shared" si="26"/>
        <v>256554.52603010103</v>
      </c>
      <c r="N76" s="91">
        <f t="shared" si="26"/>
        <v>256554.55224527913</v>
      </c>
      <c r="O76" s="91">
        <f t="shared" si="26"/>
        <v>256554.55518875484</v>
      </c>
    </row>
    <row r="77" spans="1:15" ht="17" thickBot="1">
      <c r="B77" s="65" t="s">
        <v>7</v>
      </c>
      <c r="C77" s="72">
        <f>$S$24</f>
        <v>58000</v>
      </c>
      <c r="E77" s="91">
        <f t="shared" ref="E77:O77" si="27">E23*$C$77</f>
        <v>252342.05</v>
      </c>
      <c r="F77" s="91">
        <f t="shared" si="27"/>
        <v>322107.20499999996</v>
      </c>
      <c r="G77" s="91">
        <f t="shared" si="27"/>
        <v>378067.76549999998</v>
      </c>
      <c r="H77" s="91">
        <f t="shared" si="27"/>
        <v>388562.22604999994</v>
      </c>
      <c r="I77" s="91">
        <f t="shared" si="27"/>
        <v>390101.51255500002</v>
      </c>
      <c r="J77" s="91">
        <f t="shared" si="27"/>
        <v>390304.42525049997</v>
      </c>
      <c r="K77" s="91">
        <f t="shared" si="27"/>
        <v>390329.61492455006</v>
      </c>
      <c r="L77" s="91">
        <f t="shared" si="27"/>
        <v>390332.62373240502</v>
      </c>
      <c r="M77" s="91">
        <f t="shared" si="27"/>
        <v>390332.97359723551</v>
      </c>
      <c r="N77" s="91">
        <f t="shared" si="27"/>
        <v>390333.01348212303</v>
      </c>
      <c r="O77" s="91">
        <f t="shared" si="27"/>
        <v>390333.0179604523</v>
      </c>
    </row>
    <row r="78" spans="1:15" ht="17" thickBot="1">
      <c r="B78" s="65" t="s">
        <v>8</v>
      </c>
      <c r="C78" s="72">
        <f>$S$25</f>
        <v>46000</v>
      </c>
      <c r="E78" s="92">
        <f t="shared" ref="E78:O78" si="28">E24*$C$78</f>
        <v>293797.39999999997</v>
      </c>
      <c r="F78" s="92">
        <f t="shared" si="28"/>
        <v>375023.74</v>
      </c>
      <c r="G78" s="92">
        <f t="shared" si="28"/>
        <v>440177.63400000002</v>
      </c>
      <c r="H78" s="92">
        <f t="shared" si="28"/>
        <v>452396.14939999999</v>
      </c>
      <c r="I78" s="92">
        <f t="shared" si="28"/>
        <v>454188.31354000006</v>
      </c>
      <c r="J78" s="92">
        <f t="shared" si="28"/>
        <v>454424.56121399993</v>
      </c>
      <c r="K78" s="92">
        <f t="shared" si="28"/>
        <v>454453.88910740003</v>
      </c>
      <c r="L78" s="92">
        <f t="shared" si="28"/>
        <v>454457.39220934006</v>
      </c>
      <c r="M78" s="92">
        <f t="shared" si="28"/>
        <v>454457.79955079395</v>
      </c>
      <c r="N78" s="92">
        <f t="shared" si="28"/>
        <v>454457.84598806541</v>
      </c>
      <c r="O78" s="92">
        <f t="shared" si="28"/>
        <v>454457.85120210517</v>
      </c>
    </row>
    <row r="79" spans="1:15" ht="17" thickBot="1">
      <c r="D79" s="93" t="s">
        <v>34</v>
      </c>
      <c r="E79" s="94">
        <f t="shared" ref="E79:O79" si="29">SUM(E75:E78)</f>
        <v>911772.04999999981</v>
      </c>
      <c r="F79" s="94">
        <f t="shared" si="29"/>
        <v>1163850.2050000001</v>
      </c>
      <c r="G79" s="94">
        <f t="shared" si="29"/>
        <v>1366049.0655</v>
      </c>
      <c r="H79" s="94">
        <f t="shared" si="29"/>
        <v>1403968.05605</v>
      </c>
      <c r="I79" s="94">
        <f t="shared" si="29"/>
        <v>1409529.8655550003</v>
      </c>
      <c r="J79" s="94">
        <f t="shared" si="29"/>
        <v>1410263.0375504999</v>
      </c>
      <c r="K79" s="94">
        <f t="shared" si="29"/>
        <v>1410354.0538545502</v>
      </c>
      <c r="L79" s="94">
        <f t="shared" si="29"/>
        <v>1410364.9253954052</v>
      </c>
      <c r="M79" s="94">
        <f t="shared" si="29"/>
        <v>1410366.1895405354</v>
      </c>
      <c r="N79" s="94">
        <f t="shared" si="29"/>
        <v>1410366.3336541532</v>
      </c>
      <c r="O79" s="94">
        <f t="shared" si="29"/>
        <v>1410366.3498354254</v>
      </c>
    </row>
    <row r="80" spans="1:15" ht="17" thickBot="1">
      <c r="B80" s="52" t="s">
        <v>35</v>
      </c>
    </row>
    <row r="81" spans="2:15" ht="17" thickBot="1">
      <c r="B81" s="65" t="s">
        <v>12</v>
      </c>
      <c r="C81" s="79">
        <f>$S$26</f>
        <v>90000</v>
      </c>
      <c r="E81" s="95">
        <f t="shared" ref="E81:O81" si="30">E29*$C$81</f>
        <v>229500.00000000003</v>
      </c>
      <c r="F81" s="95">
        <f t="shared" si="30"/>
        <v>292950</v>
      </c>
      <c r="G81" s="95">
        <f t="shared" si="30"/>
        <v>343845</v>
      </c>
      <c r="H81" s="95">
        <f t="shared" si="30"/>
        <v>353389.5</v>
      </c>
      <c r="I81" s="95">
        <f t="shared" si="30"/>
        <v>354789.45</v>
      </c>
      <c r="J81" s="95">
        <f t="shared" si="30"/>
        <v>354973.995</v>
      </c>
      <c r="K81" s="95">
        <f t="shared" si="30"/>
        <v>354996.90450000006</v>
      </c>
      <c r="L81" s="95">
        <f t="shared" si="30"/>
        <v>354999.64095000003</v>
      </c>
      <c r="M81" s="95">
        <f t="shared" si="30"/>
        <v>354999.95914500003</v>
      </c>
      <c r="N81" s="95">
        <f t="shared" si="30"/>
        <v>354999.99541950005</v>
      </c>
      <c r="O81" s="95">
        <f t="shared" si="30"/>
        <v>354999.99949245004</v>
      </c>
    </row>
    <row r="82" spans="2:15" ht="17" thickBot="1">
      <c r="B82" s="65" t="s">
        <v>14</v>
      </c>
      <c r="C82" s="79">
        <f>$S$27</f>
        <v>70000</v>
      </c>
      <c r="E82" s="96">
        <f t="shared" ref="E82:O82" si="31">E30*$C$82</f>
        <v>59500</v>
      </c>
      <c r="F82" s="96">
        <f t="shared" si="31"/>
        <v>75950</v>
      </c>
      <c r="G82" s="96">
        <f t="shared" si="31"/>
        <v>89145</v>
      </c>
      <c r="H82" s="96">
        <f t="shared" si="31"/>
        <v>91619.499999999985</v>
      </c>
      <c r="I82" s="96">
        <f t="shared" si="31"/>
        <v>91982.450000000012</v>
      </c>
      <c r="J82" s="96">
        <f t="shared" si="31"/>
        <v>92030.294999999998</v>
      </c>
      <c r="K82" s="96">
        <f t="shared" si="31"/>
        <v>92036.23450000002</v>
      </c>
      <c r="L82" s="96">
        <f t="shared" si="31"/>
        <v>92036.943950000015</v>
      </c>
      <c r="M82" s="96">
        <f t="shared" si="31"/>
        <v>92037.026444999996</v>
      </c>
      <c r="N82" s="96">
        <f t="shared" si="31"/>
        <v>92037.035849500011</v>
      </c>
      <c r="O82" s="96">
        <f t="shared" si="31"/>
        <v>92037.036905450004</v>
      </c>
    </row>
    <row r="83" spans="2:15" ht="17" thickBot="1">
      <c r="B83" s="65" t="s">
        <v>16</v>
      </c>
      <c r="C83" s="79">
        <f>$S$28</f>
        <v>60000</v>
      </c>
      <c r="E83" s="96">
        <f t="shared" ref="E83:O83" si="32">E31*$C$83</f>
        <v>114749.99999999999</v>
      </c>
      <c r="F83" s="96">
        <f t="shared" si="32"/>
        <v>146474.99999999997</v>
      </c>
      <c r="G83" s="96">
        <f t="shared" si="32"/>
        <v>171922.5</v>
      </c>
      <c r="H83" s="96">
        <f t="shared" si="32"/>
        <v>176694.74999999997</v>
      </c>
      <c r="I83" s="96">
        <f t="shared" si="32"/>
        <v>177394.72499999998</v>
      </c>
      <c r="J83" s="96">
        <f t="shared" si="32"/>
        <v>177486.9975</v>
      </c>
      <c r="K83" s="96">
        <f t="shared" si="32"/>
        <v>177498.45225</v>
      </c>
      <c r="L83" s="96">
        <f t="shared" si="32"/>
        <v>177499.82047499999</v>
      </c>
      <c r="M83" s="96">
        <f t="shared" si="32"/>
        <v>177499.97957249999</v>
      </c>
      <c r="N83" s="96">
        <f t="shared" si="32"/>
        <v>177499.99770974999</v>
      </c>
      <c r="O83" s="96">
        <f t="shared" si="32"/>
        <v>177499.99974622502</v>
      </c>
    </row>
    <row r="84" spans="2:15" ht="17" thickBot="1">
      <c r="B84" s="65" t="s">
        <v>18</v>
      </c>
      <c r="C84" s="79">
        <f>$S$29</f>
        <v>50000</v>
      </c>
      <c r="E84" s="97">
        <f t="shared" ref="E84:O84" si="33">E32*$C$84</f>
        <v>25500</v>
      </c>
      <c r="F84" s="97">
        <f t="shared" si="33"/>
        <v>32549.999999999996</v>
      </c>
      <c r="G84" s="97">
        <f t="shared" si="33"/>
        <v>38204.999999999993</v>
      </c>
      <c r="H84" s="97">
        <f t="shared" si="33"/>
        <v>39265.499999999993</v>
      </c>
      <c r="I84" s="97">
        <f t="shared" si="33"/>
        <v>39421.049999999996</v>
      </c>
      <c r="J84" s="97">
        <f t="shared" si="33"/>
        <v>39441.554999999993</v>
      </c>
      <c r="K84" s="97">
        <f t="shared" si="33"/>
        <v>39444.1005</v>
      </c>
      <c r="L84" s="97">
        <f t="shared" si="33"/>
        <v>39444.404549999999</v>
      </c>
      <c r="M84" s="97">
        <f t="shared" si="33"/>
        <v>39444.439904999999</v>
      </c>
      <c r="N84" s="97">
        <f t="shared" si="33"/>
        <v>39444.443935499999</v>
      </c>
      <c r="O84" s="97">
        <f t="shared" si="33"/>
        <v>39444.444388050004</v>
      </c>
    </row>
    <row r="85" spans="2:15" ht="17" thickBot="1">
      <c r="D85" s="93" t="s">
        <v>34</v>
      </c>
      <c r="E85" s="82">
        <f t="shared" ref="E85:O85" si="34">SUM(E81:E84)</f>
        <v>429250</v>
      </c>
      <c r="F85" s="82">
        <f t="shared" si="34"/>
        <v>547925</v>
      </c>
      <c r="G85" s="82">
        <f t="shared" si="34"/>
        <v>643117.5</v>
      </c>
      <c r="H85" s="82">
        <f t="shared" si="34"/>
        <v>660969.25</v>
      </c>
      <c r="I85" s="82">
        <f t="shared" si="34"/>
        <v>663587.67500000005</v>
      </c>
      <c r="J85" s="82">
        <f t="shared" si="34"/>
        <v>663932.84250000003</v>
      </c>
      <c r="K85" s="82">
        <f t="shared" si="34"/>
        <v>663975.69175</v>
      </c>
      <c r="L85" s="82">
        <f t="shared" si="34"/>
        <v>663980.80992499995</v>
      </c>
      <c r="M85" s="82">
        <f t="shared" si="34"/>
        <v>663981.40506750008</v>
      </c>
      <c r="N85" s="82">
        <f t="shared" si="34"/>
        <v>663981.47291424999</v>
      </c>
      <c r="O85" s="82">
        <f t="shared" si="34"/>
        <v>663981.48053217505</v>
      </c>
    </row>
    <row r="86" spans="2:15" ht="17" thickBot="1">
      <c r="B86" s="52" t="s">
        <v>36</v>
      </c>
    </row>
    <row r="87" spans="2:15" ht="17" thickBot="1">
      <c r="B87" s="66" t="s">
        <v>21</v>
      </c>
      <c r="C87" s="81">
        <f>$S$30</f>
        <v>90000</v>
      </c>
      <c r="E87" s="95">
        <f t="shared" ref="E87:O87" si="35">E35*$C$87</f>
        <v>9562.5</v>
      </c>
      <c r="F87" s="95">
        <f t="shared" si="35"/>
        <v>12206.25</v>
      </c>
      <c r="G87" s="95">
        <f t="shared" si="35"/>
        <v>14326.875</v>
      </c>
      <c r="H87" s="95">
        <f t="shared" si="35"/>
        <v>14724.562499999998</v>
      </c>
      <c r="I87" s="95">
        <f t="shared" si="35"/>
        <v>14782.893750000001</v>
      </c>
      <c r="J87" s="95">
        <f t="shared" si="35"/>
        <v>14790.583124999999</v>
      </c>
      <c r="K87" s="95">
        <f t="shared" si="35"/>
        <v>14791.537687500004</v>
      </c>
      <c r="L87" s="95">
        <f t="shared" si="35"/>
        <v>14791.651706250002</v>
      </c>
      <c r="M87" s="95">
        <f t="shared" si="35"/>
        <v>14791.664964375001</v>
      </c>
      <c r="N87" s="95">
        <f t="shared" si="35"/>
        <v>14791.666475812503</v>
      </c>
      <c r="O87" s="95">
        <f t="shared" si="35"/>
        <v>14791.666645518751</v>
      </c>
    </row>
    <row r="88" spans="2:15" ht="17" thickBot="1">
      <c r="B88" s="66" t="s">
        <v>23</v>
      </c>
      <c r="C88" s="81">
        <f>$S$31</f>
        <v>60000</v>
      </c>
      <c r="E88" s="96">
        <f t="shared" ref="E88:O88" si="36">E36*$C$88</f>
        <v>4335.0000000000009</v>
      </c>
      <c r="F88" s="96">
        <f t="shared" si="36"/>
        <v>5533.5</v>
      </c>
      <c r="G88" s="96">
        <f t="shared" si="36"/>
        <v>6494.85</v>
      </c>
      <c r="H88" s="96">
        <f t="shared" si="36"/>
        <v>6675.1350000000002</v>
      </c>
      <c r="I88" s="96">
        <f t="shared" si="36"/>
        <v>6701.5785000000005</v>
      </c>
      <c r="J88" s="96">
        <f t="shared" si="36"/>
        <v>6705.0643500000006</v>
      </c>
      <c r="K88" s="96">
        <f t="shared" si="36"/>
        <v>6705.4970850000009</v>
      </c>
      <c r="L88" s="96">
        <f t="shared" si="36"/>
        <v>6705.5487735000015</v>
      </c>
      <c r="M88" s="96">
        <f t="shared" si="36"/>
        <v>6705.5547838500006</v>
      </c>
      <c r="N88" s="96">
        <f t="shared" si="36"/>
        <v>6705.5554690350009</v>
      </c>
      <c r="O88" s="96">
        <f t="shared" si="36"/>
        <v>6705.5555459685011</v>
      </c>
    </row>
    <row r="89" spans="2:15" ht="17" thickBot="1">
      <c r="B89" s="66" t="s">
        <v>25</v>
      </c>
      <c r="C89" s="81">
        <f>$S$32</f>
        <v>100000</v>
      </c>
      <c r="E89" s="97">
        <f t="shared" ref="E89:O89" si="37">E37*$C$89</f>
        <v>1700.0000000000002</v>
      </c>
      <c r="F89" s="97">
        <f t="shared" si="37"/>
        <v>2170</v>
      </c>
      <c r="G89" s="97">
        <f t="shared" si="37"/>
        <v>2547.0000000000005</v>
      </c>
      <c r="H89" s="97">
        <f t="shared" si="37"/>
        <v>2617.6999999999998</v>
      </c>
      <c r="I89" s="97">
        <f t="shared" si="37"/>
        <v>2628.0700000000006</v>
      </c>
      <c r="J89" s="97">
        <f t="shared" si="37"/>
        <v>2629.4369999999999</v>
      </c>
      <c r="K89" s="97">
        <f t="shared" si="37"/>
        <v>2629.6067000000007</v>
      </c>
      <c r="L89" s="97">
        <f t="shared" si="37"/>
        <v>2629.6269700000003</v>
      </c>
      <c r="M89" s="97">
        <f t="shared" si="37"/>
        <v>2629.6293270000006</v>
      </c>
      <c r="N89" s="97">
        <f t="shared" si="37"/>
        <v>2629.6295957000002</v>
      </c>
      <c r="O89" s="97">
        <f t="shared" si="37"/>
        <v>2629.6296258700008</v>
      </c>
    </row>
    <row r="90" spans="2:15" ht="17" thickBot="1">
      <c r="D90" s="93" t="s">
        <v>34</v>
      </c>
      <c r="E90" s="82">
        <f t="shared" ref="E90:O90" si="38">SUM(E87:E89)</f>
        <v>15597.5</v>
      </c>
      <c r="F90" s="82">
        <f t="shared" si="38"/>
        <v>19909.75</v>
      </c>
      <c r="G90" s="82">
        <f t="shared" si="38"/>
        <v>23368.724999999999</v>
      </c>
      <c r="H90" s="82">
        <f t="shared" si="38"/>
        <v>24017.397499999999</v>
      </c>
      <c r="I90" s="82">
        <f t="shared" si="38"/>
        <v>24112.542250000002</v>
      </c>
      <c r="J90" s="82">
        <f t="shared" si="38"/>
        <v>24125.084474999996</v>
      </c>
      <c r="K90" s="82">
        <f t="shared" si="38"/>
        <v>24126.641472500003</v>
      </c>
      <c r="L90" s="82">
        <f t="shared" si="38"/>
        <v>24126.827449750006</v>
      </c>
      <c r="M90" s="82">
        <f t="shared" si="38"/>
        <v>24126.849075225</v>
      </c>
      <c r="N90" s="82">
        <f t="shared" si="38"/>
        <v>24126.851540547505</v>
      </c>
      <c r="O90" s="82">
        <f t="shared" si="38"/>
        <v>24126.851817357256</v>
      </c>
    </row>
    <row r="91" spans="2:15">
      <c r="B91" s="2"/>
      <c r="C91" s="2"/>
      <c r="D91" s="2"/>
    </row>
    <row r="92" spans="2:15" ht="17" thickBot="1">
      <c r="B92" s="52" t="s">
        <v>37</v>
      </c>
    </row>
    <row r="93" spans="2:15" ht="17" thickBot="1">
      <c r="B93" s="43" t="s">
        <v>38</v>
      </c>
      <c r="C93" s="45"/>
      <c r="D93" s="48">
        <f>$S$33</f>
        <v>0.1</v>
      </c>
    </row>
    <row r="94" spans="2:15" ht="17" thickBot="1">
      <c r="B94" s="43" t="s">
        <v>39</v>
      </c>
      <c r="C94" s="45"/>
      <c r="D94" s="56">
        <f>$S$34</f>
        <v>25</v>
      </c>
      <c r="E94" s="18" t="s">
        <v>40</v>
      </c>
    </row>
    <row r="95" spans="2:15" ht="17" thickBot="1">
      <c r="B95" s="43" t="s">
        <v>88</v>
      </c>
      <c r="C95" s="44"/>
      <c r="D95" s="45"/>
      <c r="E95" s="81">
        <f>E96/E42</f>
        <v>4648.625</v>
      </c>
    </row>
    <row r="96" spans="2:15" ht="17" thickBot="1">
      <c r="B96" s="43" t="s">
        <v>89</v>
      </c>
      <c r="C96" s="44"/>
      <c r="D96" s="45"/>
      <c r="E96" s="81">
        <f>$S$35</f>
        <v>125000</v>
      </c>
    </row>
    <row r="97" spans="2:15" ht="17" thickBot="1">
      <c r="B97" s="43" t="s">
        <v>90</v>
      </c>
      <c r="C97" s="44"/>
      <c r="D97" s="45"/>
      <c r="E97" s="81">
        <f>(E96*D93*(1+D93)^D94)/((1+D93)^D94-1)</f>
        <v>13771.009023752604</v>
      </c>
    </row>
    <row r="98" spans="2:15" ht="17" thickBot="1">
      <c r="B98" s="43" t="s">
        <v>91</v>
      </c>
      <c r="C98" s="44"/>
      <c r="D98" s="45"/>
      <c r="E98" s="81">
        <f t="shared" ref="E98:O98" si="39">E40*$E$97</f>
        <v>217655.27319834262</v>
      </c>
      <c r="F98" s="98">
        <f t="shared" si="39"/>
        <v>277830.55461200204</v>
      </c>
      <c r="G98" s="98">
        <f t="shared" si="39"/>
        <v>326098.81225657568</v>
      </c>
      <c r="H98" s="98">
        <f t="shared" si="39"/>
        <v>335150.71097135381</v>
      </c>
      <c r="I98" s="98">
        <f t="shared" si="39"/>
        <v>336478.40813786373</v>
      </c>
      <c r="J98" s="98">
        <f t="shared" si="39"/>
        <v>336653.42858401785</v>
      </c>
      <c r="K98" s="98">
        <f t="shared" si="39"/>
        <v>336675.15570158366</v>
      </c>
      <c r="L98" s="98">
        <f t="shared" si="39"/>
        <v>336677.7509206353</v>
      </c>
      <c r="M98" s="98">
        <f t="shared" si="39"/>
        <v>336678.05269326991</v>
      </c>
      <c r="N98" s="98">
        <f t="shared" si="39"/>
        <v>336678.08709560632</v>
      </c>
      <c r="O98" s="98">
        <f t="shared" si="39"/>
        <v>336678.09095834731</v>
      </c>
    </row>
    <row r="100" spans="2:15" ht="17" thickBot="1">
      <c r="B100" s="52" t="s">
        <v>92</v>
      </c>
    </row>
    <row r="101" spans="2:15" ht="17" thickBot="1">
      <c r="B101" s="43" t="s">
        <v>38</v>
      </c>
      <c r="C101" s="45"/>
      <c r="D101" s="48">
        <f>$S$36</f>
        <v>0.1</v>
      </c>
    </row>
    <row r="102" spans="2:15" ht="17" thickBot="1">
      <c r="B102" s="43" t="s">
        <v>39</v>
      </c>
      <c r="C102" s="45"/>
      <c r="D102" s="56">
        <f>$S$37</f>
        <v>25</v>
      </c>
      <c r="E102" s="2" t="s">
        <v>40</v>
      </c>
    </row>
    <row r="103" spans="2:15" ht="17" thickBot="1">
      <c r="B103" s="43" t="s">
        <v>88</v>
      </c>
      <c r="C103" s="44"/>
      <c r="D103" s="45"/>
      <c r="E103" s="81">
        <f>E104/E43</f>
        <v>1544.08728</v>
      </c>
    </row>
    <row r="104" spans="2:15" ht="17" thickBot="1">
      <c r="B104" s="43" t="s">
        <v>93</v>
      </c>
      <c r="C104" s="44"/>
      <c r="D104" s="45"/>
      <c r="E104" s="81">
        <f>$S$38</f>
        <v>415200</v>
      </c>
    </row>
    <row r="105" spans="2:15" ht="17" thickBot="1">
      <c r="B105" s="43" t="s">
        <v>90</v>
      </c>
      <c r="C105" s="44"/>
      <c r="D105" s="45"/>
      <c r="E105" s="81">
        <f>(E104*D101*(1+D101)^D102)/((1+D101)^D102-1)</f>
        <v>45741.783573296649</v>
      </c>
    </row>
    <row r="106" spans="2:15" ht="17" thickBot="1">
      <c r="B106" s="43" t="s">
        <v>91</v>
      </c>
      <c r="C106" s="44"/>
      <c r="D106" s="45"/>
      <c r="E106" s="81">
        <f t="shared" ref="E106:O106" si="40">$E$105*E41</f>
        <v>72296.375545561474</v>
      </c>
      <c r="F106" s="94">
        <f t="shared" si="40"/>
        <v>92284.197019922591</v>
      </c>
      <c r="G106" s="94">
        <f t="shared" si="40"/>
        <v>108316.98147914417</v>
      </c>
      <c r="H106" s="94">
        <f t="shared" si="40"/>
        <v>111323.66015624488</v>
      </c>
      <c r="I106" s="94">
        <f t="shared" si="40"/>
        <v>111764.66804707282</v>
      </c>
      <c r="J106" s="94">
        <f t="shared" si="40"/>
        <v>111822.80283846737</v>
      </c>
      <c r="K106" s="94">
        <f t="shared" si="40"/>
        <v>111830.01971783803</v>
      </c>
      <c r="L106" s="94">
        <f t="shared" si="40"/>
        <v>111830.88174579822</v>
      </c>
      <c r="M106" s="94">
        <f t="shared" si="40"/>
        <v>111830.98198259654</v>
      </c>
      <c r="N106" s="94">
        <f t="shared" si="40"/>
        <v>111830.99340967661</v>
      </c>
      <c r="O106" s="94">
        <f t="shared" si="40"/>
        <v>111830.99469272463</v>
      </c>
    </row>
    <row r="108" spans="2:15" ht="17" thickBot="1">
      <c r="B108" s="52" t="s">
        <v>94</v>
      </c>
      <c r="E108" s="3" t="s">
        <v>146</v>
      </c>
      <c r="F108" s="3" t="s">
        <v>147</v>
      </c>
      <c r="G108" s="3" t="s">
        <v>148</v>
      </c>
      <c r="H108" s="3" t="s">
        <v>149</v>
      </c>
      <c r="I108" s="3" t="s">
        <v>150</v>
      </c>
      <c r="J108" s="3" t="s">
        <v>151</v>
      </c>
      <c r="K108" s="3" t="s">
        <v>152</v>
      </c>
      <c r="L108" s="3" t="s">
        <v>153</v>
      </c>
      <c r="M108" s="3" t="s">
        <v>154</v>
      </c>
      <c r="N108" s="3" t="s">
        <v>155</v>
      </c>
      <c r="O108" s="3" t="s">
        <v>156</v>
      </c>
    </row>
    <row r="109" spans="2:15" ht="17" thickBot="1">
      <c r="B109" s="43"/>
      <c r="C109" s="44"/>
      <c r="D109" s="53" t="s">
        <v>95</v>
      </c>
      <c r="E109" s="94">
        <f t="shared" ref="E109:O109" si="41">E79</f>
        <v>911772.04999999981</v>
      </c>
      <c r="F109" s="94">
        <f t="shared" si="41"/>
        <v>1163850.2050000001</v>
      </c>
      <c r="G109" s="94">
        <f t="shared" si="41"/>
        <v>1366049.0655</v>
      </c>
      <c r="H109" s="94">
        <f t="shared" si="41"/>
        <v>1403968.05605</v>
      </c>
      <c r="I109" s="94">
        <f t="shared" si="41"/>
        <v>1409529.8655550003</v>
      </c>
      <c r="J109" s="94">
        <f t="shared" si="41"/>
        <v>1410263.0375504999</v>
      </c>
      <c r="K109" s="94">
        <f t="shared" si="41"/>
        <v>1410354.0538545502</v>
      </c>
      <c r="L109" s="94">
        <f t="shared" si="41"/>
        <v>1410364.9253954052</v>
      </c>
      <c r="M109" s="94">
        <f t="shared" si="41"/>
        <v>1410366.1895405354</v>
      </c>
      <c r="N109" s="94">
        <f t="shared" si="41"/>
        <v>1410366.3336541532</v>
      </c>
      <c r="O109" s="94">
        <f t="shared" si="41"/>
        <v>1410366.3498354254</v>
      </c>
    </row>
    <row r="110" spans="2:15" ht="17" thickBot="1">
      <c r="B110" s="43"/>
      <c r="C110" s="44"/>
      <c r="D110" s="53" t="s">
        <v>96</v>
      </c>
      <c r="E110" s="94">
        <f t="shared" ref="E110:O110" si="42">E85</f>
        <v>429250</v>
      </c>
      <c r="F110" s="94">
        <f t="shared" si="42"/>
        <v>547925</v>
      </c>
      <c r="G110" s="94">
        <f t="shared" si="42"/>
        <v>643117.5</v>
      </c>
      <c r="H110" s="94">
        <f t="shared" si="42"/>
        <v>660969.25</v>
      </c>
      <c r="I110" s="94">
        <f t="shared" si="42"/>
        <v>663587.67500000005</v>
      </c>
      <c r="J110" s="94">
        <f t="shared" si="42"/>
        <v>663932.84250000003</v>
      </c>
      <c r="K110" s="94">
        <f t="shared" si="42"/>
        <v>663975.69175</v>
      </c>
      <c r="L110" s="94">
        <f t="shared" si="42"/>
        <v>663980.80992499995</v>
      </c>
      <c r="M110" s="94">
        <f t="shared" si="42"/>
        <v>663981.40506750008</v>
      </c>
      <c r="N110" s="94">
        <f t="shared" si="42"/>
        <v>663981.47291424999</v>
      </c>
      <c r="O110" s="94">
        <f t="shared" si="42"/>
        <v>663981.48053217505</v>
      </c>
    </row>
    <row r="111" spans="2:15" ht="17" thickBot="1">
      <c r="B111" s="43"/>
      <c r="C111" s="44"/>
      <c r="D111" s="53" t="s">
        <v>97</v>
      </c>
      <c r="E111" s="94">
        <f t="shared" ref="E111:O111" si="43">E90</f>
        <v>15597.5</v>
      </c>
      <c r="F111" s="94">
        <f t="shared" si="43"/>
        <v>19909.75</v>
      </c>
      <c r="G111" s="94">
        <f t="shared" si="43"/>
        <v>23368.724999999999</v>
      </c>
      <c r="H111" s="94">
        <f t="shared" si="43"/>
        <v>24017.397499999999</v>
      </c>
      <c r="I111" s="94">
        <f t="shared" si="43"/>
        <v>24112.542250000002</v>
      </c>
      <c r="J111" s="94">
        <f t="shared" si="43"/>
        <v>24125.084474999996</v>
      </c>
      <c r="K111" s="94">
        <f t="shared" si="43"/>
        <v>24126.641472500003</v>
      </c>
      <c r="L111" s="94">
        <f t="shared" si="43"/>
        <v>24126.827449750006</v>
      </c>
      <c r="M111" s="94">
        <f t="shared" si="43"/>
        <v>24126.849075225</v>
      </c>
      <c r="N111" s="94">
        <f t="shared" si="43"/>
        <v>24126.851540547505</v>
      </c>
      <c r="O111" s="94">
        <f t="shared" si="43"/>
        <v>24126.851817357256</v>
      </c>
    </row>
    <row r="112" spans="2:15" ht="17" thickBot="1">
      <c r="B112" s="43"/>
      <c r="C112" s="44"/>
      <c r="D112" s="53" t="s">
        <v>98</v>
      </c>
      <c r="E112" s="94">
        <f t="shared" ref="E112:O112" si="44">E98</f>
        <v>217655.27319834262</v>
      </c>
      <c r="F112" s="94">
        <f t="shared" si="44"/>
        <v>277830.55461200204</v>
      </c>
      <c r="G112" s="94">
        <f t="shared" si="44"/>
        <v>326098.81225657568</v>
      </c>
      <c r="H112" s="94">
        <f t="shared" si="44"/>
        <v>335150.71097135381</v>
      </c>
      <c r="I112" s="94">
        <f t="shared" si="44"/>
        <v>336478.40813786373</v>
      </c>
      <c r="J112" s="94">
        <f t="shared" si="44"/>
        <v>336653.42858401785</v>
      </c>
      <c r="K112" s="94">
        <f t="shared" si="44"/>
        <v>336675.15570158366</v>
      </c>
      <c r="L112" s="94">
        <f t="shared" si="44"/>
        <v>336677.7509206353</v>
      </c>
      <c r="M112" s="94">
        <f t="shared" si="44"/>
        <v>336678.05269326991</v>
      </c>
      <c r="N112" s="94">
        <f t="shared" si="44"/>
        <v>336678.08709560632</v>
      </c>
      <c r="O112" s="94">
        <f t="shared" si="44"/>
        <v>336678.09095834731</v>
      </c>
    </row>
    <row r="113" spans="1:15" ht="17" thickBot="1">
      <c r="B113" s="43"/>
      <c r="C113" s="44"/>
      <c r="D113" s="53" t="s">
        <v>99</v>
      </c>
      <c r="E113" s="99">
        <f t="shared" ref="E113:O113" si="45">E106</f>
        <v>72296.375545561474</v>
      </c>
      <c r="F113" s="99">
        <f t="shared" si="45"/>
        <v>92284.197019922591</v>
      </c>
      <c r="G113" s="99">
        <f t="shared" si="45"/>
        <v>108316.98147914417</v>
      </c>
      <c r="H113" s="99">
        <f t="shared" si="45"/>
        <v>111323.66015624488</v>
      </c>
      <c r="I113" s="99">
        <f t="shared" si="45"/>
        <v>111764.66804707282</v>
      </c>
      <c r="J113" s="99">
        <f t="shared" si="45"/>
        <v>111822.80283846737</v>
      </c>
      <c r="K113" s="99">
        <f t="shared" si="45"/>
        <v>111830.01971783803</v>
      </c>
      <c r="L113" s="99">
        <f t="shared" si="45"/>
        <v>111830.88174579822</v>
      </c>
      <c r="M113" s="99">
        <f t="shared" si="45"/>
        <v>111830.98198259654</v>
      </c>
      <c r="N113" s="99">
        <f t="shared" si="45"/>
        <v>111830.99340967661</v>
      </c>
      <c r="O113" s="99">
        <f t="shared" si="45"/>
        <v>111830.99469272463</v>
      </c>
    </row>
    <row r="114" spans="1:15" ht="17" thickBot="1">
      <c r="B114" s="2"/>
      <c r="D114" s="93" t="s">
        <v>100</v>
      </c>
      <c r="E114" s="94">
        <f t="shared" ref="E114:O114" si="46">SUM(E109:E113)</f>
        <v>1646571.198743904</v>
      </c>
      <c r="F114" s="94">
        <f t="shared" si="46"/>
        <v>2101799.706631925</v>
      </c>
      <c r="G114" s="94">
        <f t="shared" si="46"/>
        <v>2466951.0842357199</v>
      </c>
      <c r="H114" s="94">
        <f t="shared" si="46"/>
        <v>2535429.0746775987</v>
      </c>
      <c r="I114" s="94">
        <f t="shared" si="46"/>
        <v>2545473.1589899366</v>
      </c>
      <c r="J114" s="94">
        <f t="shared" si="46"/>
        <v>2546797.1959479852</v>
      </c>
      <c r="K114" s="94">
        <f t="shared" si="46"/>
        <v>2546961.5624964722</v>
      </c>
      <c r="L114" s="94">
        <f t="shared" si="46"/>
        <v>2546981.1954365885</v>
      </c>
      <c r="M114" s="94">
        <f t="shared" si="46"/>
        <v>2546983.478359127</v>
      </c>
      <c r="N114" s="94">
        <f t="shared" si="46"/>
        <v>2546983.7386142332</v>
      </c>
      <c r="O114" s="94">
        <f t="shared" si="46"/>
        <v>2546983.7678360301</v>
      </c>
    </row>
    <row r="115" spans="1:15" ht="17" thickBot="1">
      <c r="B115" s="52" t="s">
        <v>101</v>
      </c>
    </row>
    <row r="116" spans="1:15" ht="17" thickBot="1">
      <c r="A116" s="2" t="s">
        <v>163</v>
      </c>
      <c r="B116" s="43" t="s">
        <v>95</v>
      </c>
      <c r="C116" s="44"/>
      <c r="D116" s="44"/>
      <c r="E116" s="100">
        <f t="shared" ref="E116:O116" si="47">E109/E10</f>
        <v>2145.3459999999995</v>
      </c>
      <c r="F116" s="100">
        <f t="shared" si="47"/>
        <v>2145.346</v>
      </c>
      <c r="G116" s="100">
        <f t="shared" si="47"/>
        <v>2145.346</v>
      </c>
      <c r="H116" s="100">
        <f t="shared" si="47"/>
        <v>2145.346</v>
      </c>
      <c r="I116" s="100">
        <f t="shared" si="47"/>
        <v>2145.3460000000005</v>
      </c>
      <c r="J116" s="100">
        <f t="shared" si="47"/>
        <v>2145.346</v>
      </c>
      <c r="K116" s="100">
        <f t="shared" si="47"/>
        <v>2145.346</v>
      </c>
      <c r="L116" s="100">
        <f t="shared" si="47"/>
        <v>2145.346</v>
      </c>
      <c r="M116" s="100">
        <f t="shared" si="47"/>
        <v>2145.346</v>
      </c>
      <c r="N116" s="100">
        <f t="shared" si="47"/>
        <v>2145.346</v>
      </c>
      <c r="O116" s="100">
        <f t="shared" si="47"/>
        <v>2145.346</v>
      </c>
    </row>
    <row r="117" spans="1:15" ht="17" thickBot="1">
      <c r="B117" s="43" t="s">
        <v>96</v>
      </c>
      <c r="C117" s="44"/>
      <c r="D117" s="44"/>
      <c r="E117" s="100">
        <f t="shared" ref="E117:O117" si="48">E110/E10</f>
        <v>1010</v>
      </c>
      <c r="F117" s="100">
        <f t="shared" si="48"/>
        <v>1010</v>
      </c>
      <c r="G117" s="100">
        <f t="shared" si="48"/>
        <v>1010</v>
      </c>
      <c r="H117" s="100">
        <f t="shared" si="48"/>
        <v>1010.0000000000001</v>
      </c>
      <c r="I117" s="100">
        <f t="shared" si="48"/>
        <v>1010</v>
      </c>
      <c r="J117" s="100">
        <f t="shared" si="48"/>
        <v>1010.0000000000001</v>
      </c>
      <c r="K117" s="100">
        <f t="shared" si="48"/>
        <v>1009.9999999999999</v>
      </c>
      <c r="L117" s="100">
        <f t="shared" si="48"/>
        <v>1009.9999999999998</v>
      </c>
      <c r="M117" s="100">
        <f t="shared" si="48"/>
        <v>1010.0000000000001</v>
      </c>
      <c r="N117" s="100">
        <f t="shared" si="48"/>
        <v>1009.9999999999999</v>
      </c>
      <c r="O117" s="100">
        <f t="shared" si="48"/>
        <v>1009.9999999999999</v>
      </c>
    </row>
    <row r="118" spans="1:15" ht="17" thickBot="1">
      <c r="B118" s="43" t="s">
        <v>97</v>
      </c>
      <c r="C118" s="44"/>
      <c r="D118" s="44"/>
      <c r="E118" s="100">
        <f t="shared" ref="E118:O118" si="49">E111/E10</f>
        <v>36.700000000000003</v>
      </c>
      <c r="F118" s="100">
        <f t="shared" si="49"/>
        <v>36.700000000000003</v>
      </c>
      <c r="G118" s="100">
        <f t="shared" si="49"/>
        <v>36.699999999999996</v>
      </c>
      <c r="H118" s="100">
        <f t="shared" si="49"/>
        <v>36.700000000000003</v>
      </c>
      <c r="I118" s="100">
        <f t="shared" si="49"/>
        <v>36.700000000000003</v>
      </c>
      <c r="J118" s="100">
        <f t="shared" si="49"/>
        <v>36.699999999999996</v>
      </c>
      <c r="K118" s="100">
        <f t="shared" si="49"/>
        <v>36.700000000000003</v>
      </c>
      <c r="L118" s="100">
        <f t="shared" si="49"/>
        <v>36.700000000000003</v>
      </c>
      <c r="M118" s="100">
        <f t="shared" si="49"/>
        <v>36.699999999999996</v>
      </c>
      <c r="N118" s="100">
        <f t="shared" si="49"/>
        <v>36.700000000000003</v>
      </c>
      <c r="O118" s="100">
        <f t="shared" si="49"/>
        <v>36.700000000000003</v>
      </c>
    </row>
    <row r="119" spans="1:15" ht="17" thickBot="1">
      <c r="B119" s="43" t="s">
        <v>98</v>
      </c>
      <c r="C119" s="44"/>
      <c r="D119" s="44"/>
      <c r="E119" s="100">
        <f t="shared" ref="E119:O119" si="50">E112/E10</f>
        <v>512.13005458433554</v>
      </c>
      <c r="F119" s="100">
        <f t="shared" si="50"/>
        <v>512.13005458433554</v>
      </c>
      <c r="G119" s="100">
        <f t="shared" si="50"/>
        <v>512.13005458433554</v>
      </c>
      <c r="H119" s="100">
        <f t="shared" si="50"/>
        <v>512.13005458433565</v>
      </c>
      <c r="I119" s="100">
        <f t="shared" si="50"/>
        <v>512.13005458433565</v>
      </c>
      <c r="J119" s="100">
        <f t="shared" si="50"/>
        <v>512.13005458433554</v>
      </c>
      <c r="K119" s="100">
        <f t="shared" si="50"/>
        <v>512.13005458433554</v>
      </c>
      <c r="L119" s="100">
        <f t="shared" si="50"/>
        <v>512.13005458433565</v>
      </c>
      <c r="M119" s="100">
        <f t="shared" si="50"/>
        <v>512.13005458433554</v>
      </c>
      <c r="N119" s="100">
        <f t="shared" si="50"/>
        <v>512.13005458433554</v>
      </c>
      <c r="O119" s="100">
        <f t="shared" si="50"/>
        <v>512.13005458433554</v>
      </c>
    </row>
    <row r="120" spans="1:15" ht="17" thickBot="1">
      <c r="B120" s="43" t="s">
        <v>99</v>
      </c>
      <c r="C120" s="44"/>
      <c r="D120" s="44"/>
      <c r="E120" s="100">
        <f t="shared" ref="E120:O120" si="51">E113/E10</f>
        <v>170.10911893073288</v>
      </c>
      <c r="F120" s="100">
        <f t="shared" si="51"/>
        <v>170.10911893073288</v>
      </c>
      <c r="G120" s="100">
        <f t="shared" si="51"/>
        <v>170.1091189307329</v>
      </c>
      <c r="H120" s="100">
        <f t="shared" si="51"/>
        <v>170.1091189307329</v>
      </c>
      <c r="I120" s="100">
        <f t="shared" si="51"/>
        <v>170.1091189307329</v>
      </c>
      <c r="J120" s="100">
        <f t="shared" si="51"/>
        <v>170.10911893073288</v>
      </c>
      <c r="K120" s="100">
        <f t="shared" si="51"/>
        <v>170.1091189307329</v>
      </c>
      <c r="L120" s="100">
        <f t="shared" si="51"/>
        <v>170.10911893073293</v>
      </c>
      <c r="M120" s="100">
        <f t="shared" si="51"/>
        <v>170.1091189307329</v>
      </c>
      <c r="N120" s="100">
        <f t="shared" si="51"/>
        <v>170.1091189307329</v>
      </c>
      <c r="O120" s="100">
        <f t="shared" si="51"/>
        <v>170.1091189307329</v>
      </c>
    </row>
    <row r="121" spans="1:15" ht="17" thickBot="1">
      <c r="D121" s="52" t="s">
        <v>34</v>
      </c>
      <c r="E121" s="100">
        <f t="shared" ref="E121:O121" si="52">SUM(E116:E120)</f>
        <v>3874.285173515068</v>
      </c>
      <c r="F121" s="100">
        <f t="shared" si="52"/>
        <v>3874.2851735150684</v>
      </c>
      <c r="G121" s="100">
        <f t="shared" si="52"/>
        <v>3874.2851735150684</v>
      </c>
      <c r="H121" s="100">
        <f t="shared" si="52"/>
        <v>3874.2851735150684</v>
      </c>
      <c r="I121" s="100">
        <f t="shared" si="52"/>
        <v>3874.2851735150689</v>
      </c>
      <c r="J121" s="100">
        <f t="shared" si="52"/>
        <v>3874.2851735150684</v>
      </c>
      <c r="K121" s="100">
        <f t="shared" si="52"/>
        <v>3874.2851735150684</v>
      </c>
      <c r="L121" s="100">
        <f t="shared" si="52"/>
        <v>3874.285173515068</v>
      </c>
      <c r="M121" s="100">
        <f t="shared" si="52"/>
        <v>3874.2851735150684</v>
      </c>
      <c r="N121" s="100">
        <f t="shared" si="52"/>
        <v>3874.2851735150684</v>
      </c>
      <c r="O121" s="100">
        <f t="shared" si="52"/>
        <v>3874.2851735150684</v>
      </c>
    </row>
    <row r="122" spans="1:15">
      <c r="D122" s="52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</row>
    <row r="123" spans="1:15">
      <c r="D123" s="52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</row>
    <row r="124" spans="1:15">
      <c r="D124" s="52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</row>
    <row r="125" spans="1:15">
      <c r="D125" s="52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</row>
    <row r="126" spans="1:15">
      <c r="D126" s="52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</row>
    <row r="127" spans="1:15">
      <c r="D127" s="52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</row>
    <row r="128" spans="1:15">
      <c r="D128" s="52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</row>
    <row r="129" spans="4:15">
      <c r="D129" s="52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</row>
    <row r="130" spans="4:15">
      <c r="D130" s="52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</row>
    <row r="131" spans="4:15">
      <c r="D131" s="52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</row>
    <row r="132" spans="4:15">
      <c r="D132" s="52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</row>
    <row r="133" spans="4:15">
      <c r="D133" s="52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</row>
    <row r="134" spans="4:15">
      <c r="D134" s="52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</row>
    <row r="135" spans="4:15">
      <c r="D135" s="52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</row>
    <row r="136" spans="4:15">
      <c r="D136" s="52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</row>
    <row r="137" spans="4:15">
      <c r="D137" s="52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</row>
    <row r="138" spans="4:15">
      <c r="D138" s="52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</row>
    <row r="139" spans="4:15">
      <c r="D139" s="52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</row>
    <row r="140" spans="4:15">
      <c r="D140" s="52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</row>
    <row r="141" spans="4:15">
      <c r="D141" s="52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</row>
    <row r="142" spans="4:15">
      <c r="D142" s="52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</row>
    <row r="143" spans="4:15">
      <c r="D143" s="52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</row>
    <row r="144" spans="4:15" ht="17" thickBot="1">
      <c r="D144" s="52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</row>
    <row r="145" spans="1:15" ht="17" thickBot="1">
      <c r="B145" s="52" t="s">
        <v>102</v>
      </c>
      <c r="E145" s="2" t="s">
        <v>163</v>
      </c>
      <c r="F145" s="102"/>
      <c r="G145" s="103"/>
      <c r="H145" s="103"/>
      <c r="I145" s="104" t="s">
        <v>133</v>
      </c>
      <c r="J145" s="103"/>
      <c r="K145" s="103"/>
      <c r="L145" s="105"/>
    </row>
    <row r="146" spans="1:15">
      <c r="B146" s="52" t="s">
        <v>141</v>
      </c>
      <c r="E146" s="2" t="s">
        <v>142</v>
      </c>
      <c r="F146" s="2" t="s">
        <v>163</v>
      </c>
    </row>
    <row r="147" spans="1:15" ht="17" thickBot="1">
      <c r="B147" s="17" t="s">
        <v>143</v>
      </c>
      <c r="C147" s="17" t="s">
        <v>144</v>
      </c>
      <c r="D147" s="17" t="s">
        <v>145</v>
      </c>
      <c r="E147" s="3" t="s">
        <v>146</v>
      </c>
      <c r="F147" s="3" t="s">
        <v>147</v>
      </c>
      <c r="G147" s="3" t="s">
        <v>148</v>
      </c>
      <c r="H147" s="3" t="s">
        <v>149</v>
      </c>
      <c r="I147" s="3" t="s">
        <v>150</v>
      </c>
      <c r="J147" s="3" t="s">
        <v>151</v>
      </c>
      <c r="K147" s="3" t="s">
        <v>152</v>
      </c>
      <c r="L147" s="3" t="s">
        <v>153</v>
      </c>
      <c r="M147" s="3" t="s">
        <v>154</v>
      </c>
      <c r="N147" s="3" t="s">
        <v>155</v>
      </c>
      <c r="O147" s="3" t="s">
        <v>156</v>
      </c>
    </row>
    <row r="148" spans="1:15">
      <c r="B148" s="25">
        <v>0</v>
      </c>
      <c r="C148" s="26"/>
      <c r="D148" s="27"/>
      <c r="E148" s="106">
        <v>100</v>
      </c>
      <c r="F148" s="107">
        <f t="shared" ref="F148:O148" si="53">E148*$B$148</f>
        <v>0</v>
      </c>
      <c r="G148" s="108">
        <f t="shared" si="53"/>
        <v>0</v>
      </c>
      <c r="H148" s="108">
        <f t="shared" si="53"/>
        <v>0</v>
      </c>
      <c r="I148" s="108">
        <f t="shared" si="53"/>
        <v>0</v>
      </c>
      <c r="J148" s="108">
        <f t="shared" si="53"/>
        <v>0</v>
      </c>
      <c r="K148" s="108">
        <f t="shared" si="53"/>
        <v>0</v>
      </c>
      <c r="L148" s="108">
        <f t="shared" si="53"/>
        <v>0</v>
      </c>
      <c r="M148" s="108">
        <f t="shared" si="53"/>
        <v>0</v>
      </c>
      <c r="N148" s="108">
        <f t="shared" si="53"/>
        <v>0</v>
      </c>
      <c r="O148" s="108">
        <f t="shared" si="53"/>
        <v>0</v>
      </c>
    </row>
    <row r="149" spans="1:15">
      <c r="B149" s="30">
        <f>$B$6</f>
        <v>0.8</v>
      </c>
      <c r="C149" s="31">
        <f>$C$6</f>
        <v>0.1</v>
      </c>
      <c r="D149" s="32"/>
      <c r="E149" s="109">
        <v>0</v>
      </c>
      <c r="F149" s="36">
        <f t="shared" ref="F149:O149" si="54">E148*$B$6+E149*$C$6</f>
        <v>80</v>
      </c>
      <c r="G149" s="110">
        <f t="shared" si="54"/>
        <v>8</v>
      </c>
      <c r="H149" s="110">
        <f t="shared" si="54"/>
        <v>0.8</v>
      </c>
      <c r="I149" s="110">
        <f t="shared" si="54"/>
        <v>8.0000000000000016E-2</v>
      </c>
      <c r="J149" s="110">
        <f t="shared" si="54"/>
        <v>8.0000000000000019E-3</v>
      </c>
      <c r="K149" s="110">
        <f t="shared" si="54"/>
        <v>8.0000000000000026E-4</v>
      </c>
      <c r="L149" s="110">
        <f t="shared" si="54"/>
        <v>8.0000000000000034E-5</v>
      </c>
      <c r="M149" s="110">
        <f t="shared" si="54"/>
        <v>8.000000000000003E-6</v>
      </c>
      <c r="N149" s="110">
        <f t="shared" si="54"/>
        <v>8.0000000000000039E-7</v>
      </c>
      <c r="O149" s="110">
        <f t="shared" si="54"/>
        <v>8.0000000000000041E-8</v>
      </c>
    </row>
    <row r="150" spans="1:15" ht="17" thickBot="1">
      <c r="B150" s="38"/>
      <c r="C150" s="39">
        <f>$C$7</f>
        <v>0.75</v>
      </c>
      <c r="D150" s="40">
        <f>$D$7</f>
        <v>0.1</v>
      </c>
      <c r="E150" s="111">
        <v>0</v>
      </c>
      <c r="F150" s="112">
        <f t="shared" ref="F150:O150" si="55">E150*$D$7+E149*$C$7</f>
        <v>0</v>
      </c>
      <c r="G150" s="113">
        <f t="shared" si="55"/>
        <v>60</v>
      </c>
      <c r="H150" s="113">
        <f t="shared" si="55"/>
        <v>12</v>
      </c>
      <c r="I150" s="113">
        <f t="shared" si="55"/>
        <v>1.8000000000000003</v>
      </c>
      <c r="J150" s="113">
        <f t="shared" si="55"/>
        <v>0.24000000000000005</v>
      </c>
      <c r="K150" s="113">
        <f t="shared" si="55"/>
        <v>3.0000000000000009E-2</v>
      </c>
      <c r="L150" s="113">
        <f t="shared" si="55"/>
        <v>3.6000000000000012E-3</v>
      </c>
      <c r="M150" s="113">
        <f t="shared" si="55"/>
        <v>4.2000000000000013E-4</v>
      </c>
      <c r="N150" s="113">
        <f t="shared" si="55"/>
        <v>4.8000000000000022E-5</v>
      </c>
      <c r="O150" s="113">
        <f t="shared" si="55"/>
        <v>5.4000000000000025E-6</v>
      </c>
    </row>
    <row r="151" spans="1:15" ht="17" thickBot="1">
      <c r="A151" s="13" t="s">
        <v>157</v>
      </c>
      <c r="B151" s="114"/>
      <c r="C151" s="115"/>
      <c r="D151" s="116">
        <f>$D$8</f>
        <v>0.5</v>
      </c>
      <c r="E151" s="23" t="s">
        <v>158</v>
      </c>
      <c r="F151" s="46">
        <f t="shared" ref="F151:O151" si="56">E150*$D$8</f>
        <v>0</v>
      </c>
      <c r="G151" s="46">
        <f t="shared" si="56"/>
        <v>0</v>
      </c>
      <c r="H151" s="46">
        <f t="shared" si="56"/>
        <v>30</v>
      </c>
      <c r="I151" s="46">
        <f t="shared" si="56"/>
        <v>6</v>
      </c>
      <c r="J151" s="46">
        <f t="shared" si="56"/>
        <v>0.90000000000000013</v>
      </c>
      <c r="K151" s="46">
        <f t="shared" si="56"/>
        <v>0.12000000000000002</v>
      </c>
      <c r="L151" s="46">
        <f t="shared" si="56"/>
        <v>1.5000000000000005E-2</v>
      </c>
      <c r="M151" s="46">
        <f t="shared" si="56"/>
        <v>1.8000000000000006E-3</v>
      </c>
      <c r="N151" s="46">
        <f t="shared" si="56"/>
        <v>2.1000000000000006E-4</v>
      </c>
      <c r="O151" s="46">
        <f t="shared" si="56"/>
        <v>2.4000000000000011E-5</v>
      </c>
    </row>
    <row r="152" spans="1:15" ht="17" thickBot="1">
      <c r="A152" s="13" t="s">
        <v>159</v>
      </c>
      <c r="B152" s="114">
        <f>1-B148-B149</f>
        <v>0.19999999999999996</v>
      </c>
      <c r="C152" s="115">
        <f>1-C149-C150</f>
        <v>0.15000000000000002</v>
      </c>
      <c r="D152" s="116">
        <f>1-D150-D151</f>
        <v>0.4</v>
      </c>
      <c r="E152" s="23" t="s">
        <v>160</v>
      </c>
      <c r="F152" s="46">
        <f t="shared" ref="F152:O152" si="57">E148*$B$9+E149*$C$9+E150*$D$9</f>
        <v>19.999999999999996</v>
      </c>
      <c r="G152" s="46">
        <f t="shared" si="57"/>
        <v>12.000000000000002</v>
      </c>
      <c r="H152" s="46">
        <f t="shared" si="57"/>
        <v>25.2</v>
      </c>
      <c r="I152" s="46">
        <f t="shared" si="57"/>
        <v>4.9200000000000008</v>
      </c>
      <c r="J152" s="46">
        <f t="shared" si="57"/>
        <v>0.73200000000000021</v>
      </c>
      <c r="K152" s="46">
        <f t="shared" si="57"/>
        <v>9.7200000000000036E-2</v>
      </c>
      <c r="L152" s="46">
        <f t="shared" si="57"/>
        <v>1.2120000000000004E-2</v>
      </c>
      <c r="M152" s="46">
        <f t="shared" si="57"/>
        <v>1.4520000000000006E-3</v>
      </c>
      <c r="N152" s="46">
        <f t="shared" si="57"/>
        <v>1.6920000000000007E-4</v>
      </c>
      <c r="O152" s="46">
        <f t="shared" si="57"/>
        <v>1.9320000000000008E-5</v>
      </c>
    </row>
    <row r="153" spans="1:15">
      <c r="C153" s="117" t="s">
        <v>161</v>
      </c>
      <c r="E153" s="2">
        <f t="shared" ref="E153:O153" si="58">SUM(E148:E150)</f>
        <v>100</v>
      </c>
      <c r="F153" s="118">
        <f t="shared" si="58"/>
        <v>80</v>
      </c>
      <c r="G153" s="118">
        <f t="shared" si="58"/>
        <v>68</v>
      </c>
      <c r="H153" s="118">
        <f t="shared" si="58"/>
        <v>12.8</v>
      </c>
      <c r="I153" s="118">
        <f t="shared" si="58"/>
        <v>1.8800000000000003</v>
      </c>
      <c r="J153" s="118">
        <f t="shared" si="58"/>
        <v>0.24800000000000005</v>
      </c>
      <c r="K153" s="118">
        <f t="shared" si="58"/>
        <v>3.0800000000000008E-2</v>
      </c>
      <c r="L153" s="118">
        <f t="shared" si="58"/>
        <v>3.6800000000000014E-3</v>
      </c>
      <c r="M153" s="118">
        <f t="shared" si="58"/>
        <v>4.280000000000001E-4</v>
      </c>
      <c r="N153" s="118">
        <f t="shared" si="58"/>
        <v>4.8800000000000021E-5</v>
      </c>
      <c r="O153" s="118">
        <f t="shared" si="58"/>
        <v>5.4800000000000026E-6</v>
      </c>
    </row>
    <row r="154" spans="1:15" ht="17" thickBot="1">
      <c r="E154" s="2" t="s">
        <v>163</v>
      </c>
    </row>
    <row r="155" spans="1:15" ht="17" thickBot="1">
      <c r="B155" s="43" t="s">
        <v>103</v>
      </c>
      <c r="C155" s="44"/>
      <c r="D155" s="45"/>
      <c r="E155" s="56">
        <f>SUM(E153:M153)</f>
        <v>262.96290799999997</v>
      </c>
    </row>
    <row r="156" spans="1:15" ht="17" thickBot="1">
      <c r="B156" s="43" t="s">
        <v>104</v>
      </c>
      <c r="C156" s="44"/>
      <c r="D156" s="45"/>
      <c r="E156" s="56">
        <f>SUM(E153:M153)-SUM(F152:M152)</f>
        <v>200.00013599999997</v>
      </c>
    </row>
    <row r="157" spans="1:15" ht="17" thickBot="1">
      <c r="B157" s="43" t="s">
        <v>105</v>
      </c>
      <c r="C157" s="44"/>
      <c r="D157" s="45"/>
      <c r="E157" s="56">
        <f>SUM(F151:M151)</f>
        <v>37.036799999999999</v>
      </c>
    </row>
    <row r="158" spans="1:15" ht="17" thickBot="1">
      <c r="B158" s="43" t="s">
        <v>106</v>
      </c>
      <c r="C158" s="44"/>
      <c r="D158" s="45"/>
      <c r="E158" s="56">
        <f>(F151*1+G151*2+H151*3+I151*4+J151*5+K151*6+J151*7)/E157</f>
        <v>3.3890616899948158</v>
      </c>
    </row>
    <row r="159" spans="1:15" ht="17" thickBot="1">
      <c r="E159" s="12"/>
    </row>
    <row r="160" spans="1:15" ht="17" thickBot="1">
      <c r="B160" s="43" t="s">
        <v>107</v>
      </c>
      <c r="C160" s="44"/>
      <c r="D160" s="45"/>
      <c r="E160" s="48">
        <f>E157/E153</f>
        <v>0.37036799999999998</v>
      </c>
      <c r="F160" s="119" t="s">
        <v>108</v>
      </c>
      <c r="G160" s="77"/>
      <c r="H160" s="77"/>
      <c r="I160" s="77"/>
      <c r="J160" s="77"/>
      <c r="K160" s="54"/>
    </row>
    <row r="161" spans="2:20" ht="17" thickBot="1">
      <c r="B161" s="43" t="s">
        <v>109</v>
      </c>
      <c r="C161" s="44"/>
      <c r="D161" s="45"/>
      <c r="E161" s="48">
        <f>E157/(SUM(E153:M153)-SUM(F152:M152))</f>
        <v>0.18518387407496564</v>
      </c>
      <c r="F161" s="119" t="s">
        <v>110</v>
      </c>
      <c r="G161" s="77"/>
      <c r="H161" s="77"/>
      <c r="I161" s="77"/>
      <c r="J161" s="77"/>
      <c r="K161" s="54"/>
    </row>
    <row r="162" spans="2:20" ht="17" thickBot="1">
      <c r="B162" s="43" t="s">
        <v>111</v>
      </c>
      <c r="C162" s="44"/>
      <c r="D162" s="45"/>
      <c r="E162" s="48">
        <f>E157/(SUM(E153:M153))</f>
        <v>0.14084419845250573</v>
      </c>
      <c r="F162" s="119" t="s">
        <v>112</v>
      </c>
      <c r="G162" s="77"/>
      <c r="H162" s="77"/>
      <c r="I162" s="77"/>
      <c r="J162" s="77"/>
      <c r="K162" s="54"/>
    </row>
    <row r="163" spans="2:20">
      <c r="E163" s="12"/>
    </row>
    <row r="164" spans="2:20">
      <c r="B164" s="52" t="s">
        <v>113</v>
      </c>
      <c r="C164" s="2"/>
      <c r="E164" s="12"/>
      <c r="F164" s="12"/>
      <c r="G164" s="12">
        <f>E158</f>
        <v>3.3890616899948158</v>
      </c>
      <c r="H164" s="12">
        <f t="shared" ref="H164:O164" si="59">G164-1</f>
        <v>2.3890616899948158</v>
      </c>
      <c r="I164" s="12">
        <f t="shared" si="59"/>
        <v>1.3890616899948158</v>
      </c>
      <c r="J164" s="12">
        <f t="shared" si="59"/>
        <v>0.38906168999481583</v>
      </c>
      <c r="K164" s="12">
        <f t="shared" si="59"/>
        <v>-0.61093831000518417</v>
      </c>
      <c r="L164" s="12">
        <f t="shared" si="59"/>
        <v>-1.6109383100051842</v>
      </c>
      <c r="M164" s="12">
        <f t="shared" si="59"/>
        <v>-2.6109383100051842</v>
      </c>
      <c r="N164" s="12">
        <f t="shared" si="59"/>
        <v>-3.6109383100051842</v>
      </c>
      <c r="O164" s="12">
        <f t="shared" si="59"/>
        <v>-4.6109383100051842</v>
      </c>
      <c r="R164" s="8"/>
    </row>
    <row r="165" spans="2:20" ht="17" thickBot="1">
      <c r="B165" s="2"/>
      <c r="C165" s="2"/>
      <c r="E165" s="93" t="s">
        <v>114</v>
      </c>
      <c r="F165" s="3">
        <v>1</v>
      </c>
      <c r="G165" s="3">
        <v>2</v>
      </c>
      <c r="H165" s="3">
        <v>3</v>
      </c>
      <c r="I165" s="3">
        <v>4</v>
      </c>
      <c r="J165" s="3">
        <v>5</v>
      </c>
      <c r="K165" s="3">
        <v>6</v>
      </c>
      <c r="L165" s="3">
        <v>7</v>
      </c>
      <c r="M165" s="3">
        <v>8</v>
      </c>
      <c r="N165" s="3">
        <v>9</v>
      </c>
      <c r="O165" s="3">
        <v>10</v>
      </c>
      <c r="P165" s="3"/>
      <c r="Q165" s="3"/>
      <c r="R165" s="120"/>
    </row>
    <row r="166" spans="2:20" ht="17" thickBot="1">
      <c r="B166" s="59" t="s">
        <v>115</v>
      </c>
      <c r="C166" s="121"/>
      <c r="D166" s="122"/>
      <c r="E166" s="60"/>
      <c r="F166" s="100">
        <f>$E$121</f>
        <v>3874.285173515068</v>
      </c>
      <c r="G166" s="100">
        <f>$F$121</f>
        <v>3874.2851735150684</v>
      </c>
      <c r="H166" s="100">
        <f>$G$121</f>
        <v>3874.2851735150684</v>
      </c>
      <c r="I166" s="100">
        <f>$H$121</f>
        <v>3874.2851735150684</v>
      </c>
      <c r="J166" s="100">
        <f>$I$121</f>
        <v>3874.2851735150689</v>
      </c>
      <c r="K166" s="100">
        <f>$J$121</f>
        <v>3874.2851735150684</v>
      </c>
      <c r="L166" s="100">
        <f>$K$121</f>
        <v>3874.2851735150684</v>
      </c>
      <c r="M166" s="100">
        <f>$L$121</f>
        <v>3874.285173515068</v>
      </c>
      <c r="N166" s="100">
        <f>$M$121</f>
        <v>3874.2851735150684</v>
      </c>
      <c r="O166" s="100">
        <f>$N$121</f>
        <v>3874.2851735150684</v>
      </c>
      <c r="P166" s="101"/>
      <c r="Q166" s="101"/>
    </row>
    <row r="167" spans="2:20" ht="17" thickBot="1">
      <c r="B167" s="62"/>
      <c r="C167" s="123" t="s">
        <v>116</v>
      </c>
      <c r="D167" s="124"/>
      <c r="E167" s="63"/>
      <c r="F167" s="24">
        <v>1</v>
      </c>
      <c r="G167" s="56">
        <f>IF(G164&gt;0,(G164-H164),0)</f>
        <v>1</v>
      </c>
      <c r="H167" s="56">
        <f>IF(H164&gt;0,(H164-I164),0)</f>
        <v>1</v>
      </c>
      <c r="I167" s="56">
        <f>IF(I164&gt;0,(I164-J164),0)</f>
        <v>1</v>
      </c>
      <c r="J167" s="56">
        <f t="shared" ref="J167:O167" si="60">IF(J164&gt;0,J164,0)</f>
        <v>0.38906168999481583</v>
      </c>
      <c r="K167" s="56">
        <f t="shared" si="60"/>
        <v>0</v>
      </c>
      <c r="L167" s="56">
        <f t="shared" si="60"/>
        <v>0</v>
      </c>
      <c r="M167" s="56">
        <f t="shared" si="60"/>
        <v>0</v>
      </c>
      <c r="N167" s="56">
        <f t="shared" si="60"/>
        <v>0</v>
      </c>
      <c r="O167" s="56">
        <f t="shared" si="60"/>
        <v>0</v>
      </c>
      <c r="R167" s="125"/>
      <c r="S167" s="126"/>
      <c r="T167" s="126"/>
    </row>
    <row r="168" spans="2:20" s="126" customFormat="1" ht="17" thickBot="1">
      <c r="B168" s="127" t="s">
        <v>117</v>
      </c>
      <c r="C168" s="122"/>
      <c r="D168" s="122"/>
      <c r="E168" s="128"/>
      <c r="F168" s="129">
        <f t="shared" ref="F168:O168" si="61">F166*F167</f>
        <v>3874.285173515068</v>
      </c>
      <c r="G168" s="129">
        <f t="shared" si="61"/>
        <v>3874.2851735150684</v>
      </c>
      <c r="H168" s="129">
        <f t="shared" si="61"/>
        <v>3874.2851735150684</v>
      </c>
      <c r="I168" s="129">
        <f t="shared" si="61"/>
        <v>3874.2851735150684</v>
      </c>
      <c r="J168" s="129">
        <f t="shared" si="61"/>
        <v>1507.335937129631</v>
      </c>
      <c r="K168" s="129">
        <f t="shared" si="61"/>
        <v>0</v>
      </c>
      <c r="L168" s="129">
        <f t="shared" si="61"/>
        <v>0</v>
      </c>
      <c r="M168" s="129">
        <f t="shared" si="61"/>
        <v>0</v>
      </c>
      <c r="N168" s="129">
        <f t="shared" si="61"/>
        <v>0</v>
      </c>
      <c r="O168" s="129">
        <f t="shared" si="61"/>
        <v>0</v>
      </c>
      <c r="R168" s="120"/>
      <c r="S168" s="101"/>
      <c r="T168" s="101"/>
    </row>
    <row r="169" spans="2:20" s="101" customFormat="1" ht="17" thickBot="1">
      <c r="B169" s="130" t="s">
        <v>118</v>
      </c>
      <c r="C169" s="131"/>
      <c r="D169" s="124"/>
      <c r="E169" s="132"/>
      <c r="G169" s="100"/>
      <c r="I169" s="100">
        <f>$S$39</f>
        <v>400</v>
      </c>
      <c r="J169" s="100">
        <f>$S$40</f>
        <v>3600</v>
      </c>
      <c r="K169" s="100">
        <f>$S$41</f>
        <v>4600</v>
      </c>
      <c r="L169" s="100">
        <f>$S$42</f>
        <v>5600</v>
      </c>
      <c r="M169" s="100">
        <f>$S$43</f>
        <v>6000</v>
      </c>
      <c r="N169" s="100">
        <f>$S$44</f>
        <v>9000</v>
      </c>
      <c r="O169" s="100">
        <f>$S$45</f>
        <v>13000</v>
      </c>
      <c r="R169" s="120"/>
    </row>
    <row r="170" spans="2:20" s="101" customFormat="1" ht="17" thickBot="1">
      <c r="B170" s="133" t="s">
        <v>119</v>
      </c>
      <c r="C170" s="134"/>
      <c r="D170" s="77"/>
      <c r="E170" s="135"/>
      <c r="F170" s="100">
        <f t="shared" ref="F170:O170" si="62">F169-F168</f>
        <v>-3874.285173515068</v>
      </c>
      <c r="G170" s="100">
        <f t="shared" si="62"/>
        <v>-3874.2851735150684</v>
      </c>
      <c r="H170" s="100">
        <f t="shared" si="62"/>
        <v>-3874.2851735150684</v>
      </c>
      <c r="I170" s="100">
        <f t="shared" si="62"/>
        <v>-3474.2851735150684</v>
      </c>
      <c r="J170" s="100">
        <f t="shared" si="62"/>
        <v>2092.664062870369</v>
      </c>
      <c r="K170" s="100">
        <f t="shared" si="62"/>
        <v>4600</v>
      </c>
      <c r="L170" s="100">
        <f t="shared" si="62"/>
        <v>5600</v>
      </c>
      <c r="M170" s="100">
        <f t="shared" si="62"/>
        <v>6000</v>
      </c>
      <c r="N170" s="100">
        <f t="shared" si="62"/>
        <v>9000</v>
      </c>
      <c r="O170" s="100">
        <f t="shared" si="62"/>
        <v>13000</v>
      </c>
      <c r="R170" s="13"/>
      <c r="S170" s="2"/>
      <c r="T170" s="2"/>
    </row>
    <row r="171" spans="2:20" ht="17" thickBot="1">
      <c r="B171" s="2"/>
      <c r="C171" s="43" t="s">
        <v>120</v>
      </c>
      <c r="D171" s="45"/>
      <c r="E171" s="48">
        <v>0.1</v>
      </c>
      <c r="R171" s="120"/>
      <c r="S171" s="101"/>
      <c r="T171" s="101"/>
    </row>
    <row r="172" spans="2:20" s="101" customFormat="1" ht="17" thickBot="1">
      <c r="C172" s="133" t="s">
        <v>121</v>
      </c>
      <c r="D172" s="134"/>
      <c r="E172" s="135"/>
      <c r="F172" s="100">
        <f t="shared" ref="F172:O172" si="63">F168/(1+$E$171)^F165</f>
        <v>3522.0774304682432</v>
      </c>
      <c r="G172" s="100">
        <f t="shared" si="63"/>
        <v>3201.8885731529485</v>
      </c>
      <c r="H172" s="100">
        <f t="shared" si="63"/>
        <v>2910.8077937754074</v>
      </c>
      <c r="I172" s="100">
        <f t="shared" si="63"/>
        <v>2646.1889034321885</v>
      </c>
      <c r="J172" s="100">
        <f t="shared" si="63"/>
        <v>935.93702437714171</v>
      </c>
      <c r="K172" s="100">
        <f t="shared" si="63"/>
        <v>0</v>
      </c>
      <c r="L172" s="100">
        <f t="shared" si="63"/>
        <v>0</v>
      </c>
      <c r="M172" s="100">
        <f t="shared" si="63"/>
        <v>0</v>
      </c>
      <c r="N172" s="100">
        <f t="shared" si="63"/>
        <v>0</v>
      </c>
      <c r="O172" s="100">
        <f t="shared" si="63"/>
        <v>0</v>
      </c>
      <c r="R172" s="120"/>
    </row>
    <row r="173" spans="2:20" s="101" customFormat="1" ht="17" thickBot="1">
      <c r="C173" s="133" t="s">
        <v>123</v>
      </c>
      <c r="D173" s="134"/>
      <c r="E173" s="135"/>
      <c r="F173" s="100">
        <f t="shared" ref="F173:O173" si="64">F169/(1+$E$171)^F165</f>
        <v>0</v>
      </c>
      <c r="G173" s="100">
        <f t="shared" si="64"/>
        <v>0</v>
      </c>
      <c r="H173" s="100">
        <f t="shared" si="64"/>
        <v>0</v>
      </c>
      <c r="I173" s="100">
        <f t="shared" si="64"/>
        <v>273.20538214602823</v>
      </c>
      <c r="J173" s="100">
        <f t="shared" si="64"/>
        <v>2235.3167630129578</v>
      </c>
      <c r="K173" s="100">
        <f t="shared" si="64"/>
        <v>2596.5800782473748</v>
      </c>
      <c r="L173" s="100">
        <f t="shared" si="64"/>
        <v>2873.6854620919562</v>
      </c>
      <c r="M173" s="100">
        <f t="shared" si="64"/>
        <v>2799.0442812583992</v>
      </c>
      <c r="N173" s="100">
        <f t="shared" si="64"/>
        <v>3816.8785653523619</v>
      </c>
      <c r="O173" s="100">
        <f t="shared" si="64"/>
        <v>5012.0627625839088</v>
      </c>
      <c r="R173" s="13"/>
      <c r="S173" s="2"/>
      <c r="T173" s="2"/>
    </row>
    <row r="174" spans="2:20" ht="17" thickBot="1">
      <c r="B174" s="2"/>
      <c r="C174" s="43" t="s">
        <v>124</v>
      </c>
      <c r="D174" s="45"/>
      <c r="E174" s="100">
        <f>SUM(F173:O173)</f>
        <v>19606.773294692986</v>
      </c>
    </row>
    <row r="175" spans="2:20" ht="17" thickBot="1">
      <c r="B175" s="2"/>
      <c r="C175" s="43" t="s">
        <v>125</v>
      </c>
      <c r="D175" s="45"/>
      <c r="E175" s="100">
        <f>SUM(F172:O172)</f>
        <v>13216.899725205929</v>
      </c>
    </row>
    <row r="176" spans="2:20" ht="17" thickBot="1">
      <c r="B176" s="2"/>
      <c r="C176" s="43" t="s">
        <v>126</v>
      </c>
      <c r="D176" s="45"/>
      <c r="E176" s="100">
        <f>NPV(E171,F170:O170)</f>
        <v>6389.8735694870547</v>
      </c>
      <c r="F176" s="101" t="s">
        <v>163</v>
      </c>
      <c r="G176" s="2" t="s">
        <v>163</v>
      </c>
    </row>
    <row r="177" spans="2:5" ht="17" thickBot="1">
      <c r="B177" s="2"/>
      <c r="C177" s="43" t="s">
        <v>127</v>
      </c>
      <c r="D177" s="45"/>
      <c r="E177" s="48">
        <f>IRR(F170:O170,E171)</f>
        <v>0.18546384883281242</v>
      </c>
    </row>
    <row r="178" spans="2:5">
      <c r="B178" s="2"/>
      <c r="C178" s="85"/>
      <c r="D178" s="85"/>
      <c r="E178" s="136"/>
    </row>
    <row r="179" spans="2:5">
      <c r="B179" s="2"/>
      <c r="C179" s="85"/>
      <c r="D179" s="85"/>
      <c r="E179" s="136"/>
    </row>
    <row r="180" spans="2:5">
      <c r="B180" s="2"/>
      <c r="C180" s="85"/>
      <c r="D180" s="85"/>
      <c r="E180" s="136"/>
    </row>
    <row r="181" spans="2:5">
      <c r="B181" s="2"/>
      <c r="C181" s="85"/>
      <c r="D181" s="85"/>
      <c r="E181" s="136"/>
    </row>
    <row r="182" spans="2:5">
      <c r="B182" s="2"/>
      <c r="C182" s="85"/>
      <c r="D182" s="85"/>
      <c r="E182" s="136"/>
    </row>
    <row r="183" spans="2:5">
      <c r="B183" s="2"/>
      <c r="C183" s="85"/>
      <c r="D183" s="85"/>
      <c r="E183" s="136"/>
    </row>
    <row r="184" spans="2:5">
      <c r="B184" s="2"/>
      <c r="C184" s="85"/>
      <c r="D184" s="85"/>
      <c r="E184" s="136"/>
    </row>
    <row r="185" spans="2:5">
      <c r="B185" s="2"/>
      <c r="C185" s="85"/>
      <c r="D185" s="85"/>
      <c r="E185" s="136"/>
    </row>
    <row r="186" spans="2:5">
      <c r="B186" s="2"/>
      <c r="C186" s="85"/>
      <c r="D186" s="85"/>
      <c r="E186" s="136"/>
    </row>
    <row r="187" spans="2:5">
      <c r="B187" s="2"/>
      <c r="C187" s="85"/>
      <c r="D187" s="85"/>
      <c r="E187" s="136"/>
    </row>
    <row r="188" spans="2:5">
      <c r="B188" s="2"/>
      <c r="C188" s="85"/>
      <c r="D188" s="85"/>
      <c r="E188" s="136"/>
    </row>
    <row r="189" spans="2:5">
      <c r="B189" s="2"/>
      <c r="C189" s="85"/>
      <c r="D189" s="85"/>
      <c r="E189" s="136"/>
    </row>
    <row r="190" spans="2:5">
      <c r="B190" s="2"/>
      <c r="C190" s="85"/>
      <c r="D190" s="85"/>
      <c r="E190" s="136"/>
    </row>
    <row r="191" spans="2:5">
      <c r="B191" s="2"/>
      <c r="C191" s="85"/>
      <c r="D191" s="85"/>
      <c r="E191" s="136"/>
    </row>
    <row r="192" spans="2:5">
      <c r="B192" s="2"/>
      <c r="C192" s="85"/>
      <c r="D192" s="85"/>
      <c r="E192" s="136"/>
    </row>
    <row r="193" spans="2:5">
      <c r="B193" s="2"/>
      <c r="C193" s="85"/>
      <c r="D193" s="85"/>
      <c r="E193" s="136"/>
    </row>
    <row r="194" spans="2:5">
      <c r="B194" s="2"/>
      <c r="C194" s="85"/>
      <c r="D194" s="85"/>
      <c r="E194" s="136"/>
    </row>
    <row r="195" spans="2:5">
      <c r="B195" s="2"/>
      <c r="C195" s="85"/>
      <c r="D195" s="85"/>
      <c r="E195" s="136"/>
    </row>
    <row r="196" spans="2:5">
      <c r="B196" s="2"/>
      <c r="C196" s="85"/>
      <c r="D196" s="85"/>
      <c r="E196" s="136"/>
    </row>
    <row r="197" spans="2:5">
      <c r="B197" s="2"/>
      <c r="C197" s="85"/>
      <c r="D197" s="85"/>
      <c r="E197" s="136"/>
    </row>
    <row r="198" spans="2:5">
      <c r="B198" s="2"/>
      <c r="C198" s="85"/>
      <c r="D198" s="85"/>
      <c r="E198" s="136"/>
    </row>
    <row r="199" spans="2:5">
      <c r="B199" s="2"/>
      <c r="C199" s="85"/>
      <c r="D199" s="85"/>
      <c r="E199" s="136"/>
    </row>
    <row r="200" spans="2:5">
      <c r="B200" s="2"/>
      <c r="C200" s="85"/>
      <c r="D200" s="85"/>
      <c r="E200" s="136"/>
    </row>
    <row r="201" spans="2:5">
      <c r="B201" s="2"/>
      <c r="C201" s="85"/>
      <c r="D201" s="85"/>
      <c r="E201" s="136"/>
    </row>
    <row r="202" spans="2:5">
      <c r="B202" s="2"/>
      <c r="C202" s="85"/>
      <c r="D202" s="85"/>
      <c r="E202" s="136"/>
    </row>
    <row r="203" spans="2:5">
      <c r="B203" s="2"/>
      <c r="C203" s="85"/>
      <c r="D203" s="85"/>
      <c r="E203" s="136"/>
    </row>
    <row r="204" spans="2:5">
      <c r="B204" s="2"/>
      <c r="C204" s="85"/>
      <c r="D204" s="85"/>
      <c r="E204" s="136"/>
    </row>
    <row r="205" spans="2:5">
      <c r="B205" s="2"/>
      <c r="C205" s="85"/>
      <c r="D205" s="85"/>
      <c r="E205" s="136"/>
    </row>
    <row r="206" spans="2:5">
      <c r="B206" s="2"/>
      <c r="C206" s="85"/>
      <c r="D206" s="85"/>
      <c r="E206" s="136"/>
    </row>
    <row r="207" spans="2:5">
      <c r="B207" s="2"/>
      <c r="C207" s="85"/>
      <c r="D207" s="85"/>
      <c r="E207" s="136"/>
    </row>
    <row r="208" spans="2:5">
      <c r="B208" s="2"/>
      <c r="C208" s="85"/>
      <c r="D208" s="85"/>
      <c r="E208" s="136"/>
    </row>
    <row r="209" spans="2:15">
      <c r="B209" s="2"/>
      <c r="C209" s="85"/>
      <c r="D209" s="85"/>
      <c r="E209" s="136"/>
    </row>
    <row r="210" spans="2:15">
      <c r="B210" s="2"/>
      <c r="C210" s="85"/>
      <c r="D210" s="85"/>
      <c r="E210" s="136"/>
    </row>
    <row r="211" spans="2:15">
      <c r="B211" s="2"/>
      <c r="C211" s="85"/>
      <c r="D211" s="85"/>
      <c r="E211" s="136"/>
    </row>
    <row r="212" spans="2:15">
      <c r="B212" s="2"/>
      <c r="C212" s="85"/>
      <c r="D212" s="85"/>
      <c r="E212" s="136"/>
    </row>
    <row r="213" spans="2:15">
      <c r="B213" s="2"/>
      <c r="C213" s="85"/>
      <c r="D213" s="85"/>
      <c r="E213" s="136"/>
    </row>
    <row r="214" spans="2:15">
      <c r="B214" s="2"/>
      <c r="C214" s="85"/>
      <c r="D214" s="85"/>
      <c r="E214" s="136"/>
    </row>
    <row r="215" spans="2:15">
      <c r="B215" s="2"/>
      <c r="C215" s="85"/>
      <c r="D215" s="85"/>
      <c r="E215" s="136"/>
    </row>
    <row r="216" spans="2:15">
      <c r="B216" s="2"/>
      <c r="C216" s="85"/>
      <c r="D216" s="85"/>
      <c r="E216" s="136"/>
    </row>
    <row r="217" spans="2:15">
      <c r="B217" s="2"/>
      <c r="C217" s="85"/>
      <c r="D217" s="85"/>
      <c r="E217" s="136"/>
    </row>
    <row r="218" spans="2:15">
      <c r="B218" s="2"/>
      <c r="C218" s="85"/>
      <c r="D218" s="85"/>
      <c r="E218" s="136"/>
    </row>
    <row r="219" spans="2:15" ht="17" thickBot="1">
      <c r="B219" s="2"/>
      <c r="C219" s="2"/>
      <c r="D219" s="85"/>
      <c r="E219" s="136"/>
      <c r="G219" s="7"/>
      <c r="K219" s="7"/>
    </row>
    <row r="220" spans="2:15" ht="17" thickBot="1">
      <c r="B220" s="137" t="s">
        <v>135</v>
      </c>
      <c r="C220" s="55">
        <f>B5-1</f>
        <v>0</v>
      </c>
      <c r="E220" s="119" t="s">
        <v>139</v>
      </c>
      <c r="F220" s="55">
        <f>O16</f>
        <v>0.26965152411047438</v>
      </c>
      <c r="H220" s="9"/>
      <c r="I220" s="10" t="s">
        <v>134</v>
      </c>
      <c r="J220" s="11"/>
      <c r="L220" s="138" t="s">
        <v>137</v>
      </c>
      <c r="M220" s="45">
        <f>E158</f>
        <v>3.3890616899948158</v>
      </c>
      <c r="N220" s="139" t="s">
        <v>126</v>
      </c>
      <c r="O220" s="140">
        <f>E176</f>
        <v>6389.8735694870547</v>
      </c>
    </row>
    <row r="221" spans="2:15" ht="17" thickBot="1">
      <c r="B221" s="137" t="s">
        <v>136</v>
      </c>
      <c r="C221" s="55">
        <f>E14</f>
        <v>0.02</v>
      </c>
      <c r="E221" s="119" t="s">
        <v>140</v>
      </c>
      <c r="F221" s="141">
        <f>O15</f>
        <v>2437.9888399895149</v>
      </c>
      <c r="H221" s="3"/>
      <c r="L221" s="43" t="s">
        <v>138</v>
      </c>
      <c r="M221" s="55">
        <f>E162</f>
        <v>0.14084419845250573</v>
      </c>
      <c r="N221" s="139" t="s">
        <v>127</v>
      </c>
      <c r="O221" s="55">
        <f>E177</f>
        <v>0.18546384883281242</v>
      </c>
    </row>
  </sheetData>
  <mergeCells count="1">
    <mergeCell ref="S1:T1"/>
  </mergeCells>
  <pageMargins left="0.3" right="0.3" top="0.7" bottom="0.7" header="0.5" footer="0.5"/>
  <pageSetup scale="70" orientation="portrait" horizontalDpi="4294967292" verticalDpi="4294967292"/>
  <headerFooter alignWithMargins="0">
    <oddHeader>&amp;LPLeBel&amp;CEducationalForecastingModel.xls&amp;R&amp;D, &amp;T</oddHeader>
    <oddFooter>&amp;L&amp;C- &amp;P -&amp;R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Ed.Forecasting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Phillip LeBel</cp:lastModifiedBy>
  <cp:lastPrinted>2007-02-22T00:53:05Z</cp:lastPrinted>
  <dcterms:created xsi:type="dcterms:W3CDTF">1998-12-03T17:22:13Z</dcterms:created>
  <dcterms:modified xsi:type="dcterms:W3CDTF">2021-11-21T14:56:43Z</dcterms:modified>
</cp:coreProperties>
</file>