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108"/>
  <workbookPr date1904="1"/>
  <mc:AlternateContent xmlns:mc="http://schemas.openxmlformats.org/markup-compatibility/2006">
    <mc:Choice Requires="x15">
      <x15ac:absPath xmlns:x15ac="http://schemas.microsoft.com/office/spreadsheetml/2010/11/ac" url="/Users/PhillipLeBel/Desktop/ A. P.LeBel files/H. HomePage/"/>
    </mc:Choice>
  </mc:AlternateContent>
  <xr:revisionPtr revIDLastSave="0" documentId="8_{41453579-EAFC-774E-8AD4-4D3C28E3A8C0}" xr6:coauthVersionLast="45" xr6:coauthVersionMax="45" xr10:uidLastSave="{00000000-0000-0000-0000-000000000000}"/>
  <bookViews>
    <workbookView xWindow="0" yWindow="460" windowWidth="25100" windowHeight="15540" tabRatio="293"/>
  </bookViews>
  <sheets>
    <sheet name="Exhaustible Resource Model" sheetId="1" r:id="rId1"/>
  </sheets>
  <calcPr calcId="191029" iterate="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0" i="1" l="1"/>
  <c r="I158" i="1"/>
  <c r="E137" i="1"/>
  <c r="F136" i="1"/>
  <c r="H137" i="1"/>
  <c r="J146" i="1"/>
  <c r="I154" i="1"/>
  <c r="E138" i="1"/>
  <c r="H138" i="1"/>
  <c r="M137" i="1"/>
  <c r="J147" i="1"/>
  <c r="I155" i="1"/>
  <c r="E139" i="1"/>
  <c r="H139" i="1"/>
  <c r="J148" i="1"/>
  <c r="I156" i="1"/>
  <c r="E140" i="1"/>
  <c r="H140" i="1"/>
  <c r="J149" i="1"/>
  <c r="I157" i="1"/>
  <c r="F137" i="1"/>
  <c r="E146" i="1"/>
  <c r="F138" i="1"/>
  <c r="F147" i="1"/>
  <c r="F139" i="1"/>
  <c r="G148" i="1"/>
  <c r="F140" i="1"/>
  <c r="H149" i="1"/>
  <c r="D154" i="1" a="1"/>
  <c r="E74" i="1"/>
  <c r="H90" i="1"/>
  <c r="E71" i="1"/>
  <c r="F70" i="1"/>
  <c r="H71" i="1"/>
  <c r="J71" i="1"/>
  <c r="H80" i="1"/>
  <c r="H87" i="1"/>
  <c r="E72" i="1"/>
  <c r="H72" i="1"/>
  <c r="H81" i="1"/>
  <c r="H88" i="1"/>
  <c r="E73" i="1"/>
  <c r="H73" i="1"/>
  <c r="H82" i="1"/>
  <c r="H89" i="1"/>
  <c r="F71" i="1"/>
  <c r="D80" i="1"/>
  <c r="F72" i="1"/>
  <c r="E81" i="1"/>
  <c r="F73" i="1"/>
  <c r="F82" i="1"/>
  <c r="D87" i="1" a="1"/>
  <c r="E23" i="1"/>
  <c r="F23" i="1"/>
  <c r="F22" i="1"/>
  <c r="E30" i="1"/>
  <c r="I21" i="1"/>
  <c r="F31" i="1"/>
  <c r="D36" i="1" a="1"/>
  <c r="E24" i="1"/>
  <c r="G38" i="1"/>
  <c r="E22" i="1"/>
  <c r="H30" i="1"/>
  <c r="G36" i="1"/>
  <c r="H31" i="1"/>
  <c r="G37" i="1"/>
  <c r="H23" i="1"/>
  <c r="H22" i="1"/>
  <c r="F258" i="1"/>
  <c r="E209" i="1"/>
  <c r="F209" i="1"/>
  <c r="E211" i="1"/>
  <c r="E233" i="1"/>
  <c r="D233" i="1"/>
  <c r="F233" i="1"/>
  <c r="H233" i="1"/>
  <c r="G233" i="1"/>
  <c r="I208" i="1"/>
  <c r="I233" i="1"/>
  <c r="J233" i="1"/>
  <c r="E232" i="1"/>
  <c r="D232" i="1"/>
  <c r="F232" i="1"/>
  <c r="H232" i="1"/>
  <c r="G232" i="1"/>
  <c r="I232" i="1"/>
  <c r="J232" i="1"/>
  <c r="E231" i="1"/>
  <c r="D231" i="1"/>
  <c r="F231" i="1"/>
  <c r="H231" i="1"/>
  <c r="G231" i="1"/>
  <c r="I231" i="1"/>
  <c r="J231" i="1"/>
  <c r="E230" i="1"/>
  <c r="D230" i="1"/>
  <c r="F230" i="1"/>
  <c r="H230" i="1"/>
  <c r="G230" i="1"/>
  <c r="I230" i="1"/>
  <c r="J230" i="1"/>
  <c r="E229" i="1"/>
  <c r="D229" i="1"/>
  <c r="F229" i="1"/>
  <c r="H229" i="1"/>
  <c r="G229" i="1"/>
  <c r="I229" i="1"/>
  <c r="J229" i="1"/>
  <c r="E228" i="1"/>
  <c r="D228" i="1"/>
  <c r="F228" i="1"/>
  <c r="H228" i="1"/>
  <c r="G228" i="1"/>
  <c r="I228" i="1"/>
  <c r="J228" i="1"/>
  <c r="E227" i="1"/>
  <c r="D227" i="1"/>
  <c r="F227" i="1"/>
  <c r="H227" i="1"/>
  <c r="G227" i="1"/>
  <c r="I227" i="1"/>
  <c r="J227" i="1"/>
  <c r="E226" i="1"/>
  <c r="D226" i="1"/>
  <c r="F226" i="1"/>
  <c r="H226" i="1"/>
  <c r="G226" i="1"/>
  <c r="I226" i="1"/>
  <c r="J226" i="1"/>
  <c r="E225" i="1"/>
  <c r="D225" i="1"/>
  <c r="F225" i="1"/>
  <c r="H225" i="1"/>
  <c r="G225" i="1"/>
  <c r="I225" i="1"/>
  <c r="J225" i="1"/>
  <c r="E224" i="1"/>
  <c r="D224" i="1"/>
  <c r="F224" i="1"/>
  <c r="H224" i="1"/>
  <c r="G224" i="1"/>
  <c r="I224" i="1"/>
  <c r="J224" i="1"/>
  <c r="E223" i="1"/>
  <c r="D223" i="1"/>
  <c r="F223" i="1"/>
  <c r="H223" i="1"/>
  <c r="G223" i="1"/>
  <c r="I223" i="1"/>
  <c r="J223" i="1"/>
  <c r="E222" i="1"/>
  <c r="D222" i="1"/>
  <c r="F222" i="1"/>
  <c r="H222" i="1"/>
  <c r="G222" i="1"/>
  <c r="I222" i="1"/>
  <c r="J222" i="1"/>
  <c r="E221" i="1"/>
  <c r="D221" i="1"/>
  <c r="F221" i="1"/>
  <c r="H221" i="1"/>
  <c r="G221" i="1"/>
  <c r="I221" i="1"/>
  <c r="J221" i="1"/>
  <c r="E220" i="1"/>
  <c r="D220" i="1"/>
  <c r="F220" i="1"/>
  <c r="H220" i="1"/>
  <c r="G220" i="1"/>
  <c r="I220" i="1"/>
  <c r="J220" i="1"/>
  <c r="E219" i="1"/>
  <c r="D219" i="1"/>
  <c r="F219" i="1"/>
  <c r="H219" i="1"/>
  <c r="G219" i="1"/>
  <c r="I219" i="1"/>
  <c r="J219" i="1"/>
  <c r="E218" i="1"/>
  <c r="D218" i="1"/>
  <c r="F218" i="1"/>
  <c r="H218" i="1"/>
  <c r="G218" i="1"/>
  <c r="I218" i="1"/>
  <c r="J218" i="1"/>
  <c r="E217" i="1"/>
  <c r="D217" i="1"/>
  <c r="F217" i="1"/>
  <c r="H217" i="1"/>
  <c r="G217" i="1"/>
  <c r="I217" i="1"/>
  <c r="J217" i="1"/>
  <c r="E216" i="1"/>
  <c r="D216" i="1"/>
  <c r="F216" i="1"/>
  <c r="H216" i="1"/>
  <c r="G216" i="1"/>
  <c r="I216" i="1"/>
  <c r="J216" i="1"/>
  <c r="E215" i="1"/>
  <c r="D215" i="1"/>
  <c r="F215" i="1"/>
  <c r="H215" i="1"/>
  <c r="G215" i="1"/>
  <c r="I215" i="1"/>
  <c r="J215" i="1"/>
  <c r="E214" i="1"/>
  <c r="D214" i="1"/>
  <c r="F214" i="1"/>
  <c r="H214" i="1"/>
  <c r="G214" i="1"/>
  <c r="I214" i="1"/>
  <c r="J214" i="1"/>
  <c r="E213" i="1"/>
  <c r="D213" i="1"/>
  <c r="F213" i="1"/>
  <c r="H213" i="1"/>
  <c r="G213" i="1"/>
  <c r="I213" i="1"/>
  <c r="J213" i="1"/>
  <c r="F210" i="1"/>
  <c r="F21" i="1"/>
  <c r="F208" i="1"/>
  <c r="E210" i="1"/>
  <c r="M138" i="1"/>
  <c r="H32" i="1"/>
  <c r="D36" i="1"/>
  <c r="E36" i="1"/>
  <c r="F36" i="1"/>
  <c r="D37" i="1"/>
  <c r="E37" i="1"/>
  <c r="F37" i="1"/>
  <c r="D38" i="1"/>
  <c r="E38" i="1"/>
  <c r="F38" i="1"/>
  <c r="H83" i="1"/>
  <c r="D87" i="1"/>
  <c r="E87" i="1"/>
  <c r="F87" i="1"/>
  <c r="G87" i="1"/>
  <c r="D88" i="1"/>
  <c r="E88" i="1"/>
  <c r="F88" i="1"/>
  <c r="G88" i="1"/>
  <c r="D89" i="1"/>
  <c r="E89" i="1"/>
  <c r="F89" i="1"/>
  <c r="G89" i="1"/>
  <c r="D90" i="1"/>
  <c r="E90" i="1"/>
  <c r="F90" i="1"/>
  <c r="G90" i="1"/>
  <c r="J150" i="1"/>
  <c r="D154" i="1"/>
  <c r="E154" i="1"/>
  <c r="F154" i="1"/>
  <c r="G154" i="1"/>
  <c r="H154" i="1"/>
  <c r="D155" i="1"/>
  <c r="E155" i="1"/>
  <c r="F155" i="1"/>
  <c r="G155" i="1"/>
  <c r="H155" i="1"/>
  <c r="D156" i="1"/>
  <c r="E156" i="1"/>
  <c r="F156" i="1"/>
  <c r="G156" i="1"/>
  <c r="H156" i="1"/>
  <c r="D157" i="1"/>
  <c r="E157" i="1"/>
  <c r="F157" i="1"/>
  <c r="G157" i="1"/>
  <c r="H157" i="1"/>
  <c r="D158" i="1"/>
  <c r="E158" i="1"/>
  <c r="F158" i="1"/>
  <c r="G158" i="1"/>
  <c r="H158" i="1"/>
  <c r="H36" i="1" a="1"/>
  <c r="H36" i="1"/>
  <c r="J36" i="1"/>
  <c r="H37" i="1"/>
  <c r="J37" i="1"/>
  <c r="F259" i="1"/>
  <c r="L215" i="1"/>
  <c r="L214" i="1"/>
  <c r="L216" i="1"/>
  <c r="L217" i="1"/>
  <c r="M214" i="1"/>
  <c r="N214" i="1"/>
  <c r="M215" i="1"/>
  <c r="N215" i="1"/>
  <c r="N216" i="1"/>
  <c r="H39" i="1"/>
  <c r="H38" i="1"/>
  <c r="K37" i="1"/>
  <c r="J154" i="1" a="1"/>
  <c r="J154" i="1"/>
  <c r="J155" i="1"/>
  <c r="J156" i="1"/>
  <c r="J157" i="1"/>
  <c r="J159" i="1"/>
  <c r="J158" i="1"/>
  <c r="I87" i="1" a="1"/>
  <c r="I87" i="1"/>
  <c r="I88" i="1"/>
  <c r="I89" i="1"/>
  <c r="I91" i="1"/>
  <c r="I90" i="1"/>
  <c r="K88" i="1"/>
  <c r="K87" i="1"/>
  <c r="L88" i="1"/>
  <c r="K89" i="1"/>
  <c r="L89" i="1"/>
  <c r="L155" i="1"/>
  <c r="L154" i="1"/>
  <c r="M155" i="1"/>
  <c r="L156" i="1"/>
  <c r="M156" i="1"/>
  <c r="L157" i="1"/>
  <c r="M157" i="1"/>
  <c r="F260" i="1"/>
  <c r="F261" i="1"/>
</calcChain>
</file>

<file path=xl/sharedStrings.xml><?xml version="1.0" encoding="utf-8"?>
<sst xmlns="http://schemas.openxmlformats.org/spreadsheetml/2006/main" count="229" uniqueCount="107">
  <si>
    <r>
      <t>UC</t>
    </r>
    <r>
      <rPr>
        <b/>
        <vertAlign val="subscript"/>
        <sz val="18"/>
        <rFont val="Helv"/>
      </rPr>
      <t>0</t>
    </r>
  </si>
  <si>
    <r>
      <t>Q</t>
    </r>
    <r>
      <rPr>
        <b/>
        <vertAlign val="subscript"/>
        <sz val="18"/>
        <rFont val="Helv"/>
      </rPr>
      <t>0</t>
    </r>
  </si>
  <si>
    <r>
      <t>Q</t>
    </r>
    <r>
      <rPr>
        <b/>
        <vertAlign val="subscript"/>
        <sz val="18"/>
        <rFont val="Helv"/>
      </rPr>
      <t>1</t>
    </r>
  </si>
  <si>
    <r>
      <t>PVUC</t>
    </r>
    <r>
      <rPr>
        <b/>
        <vertAlign val="subscript"/>
        <sz val="18"/>
        <rFont val="Helv"/>
      </rPr>
      <t>i</t>
    </r>
  </si>
  <si>
    <r>
      <t>UC</t>
    </r>
    <r>
      <rPr>
        <b/>
        <vertAlign val="subscript"/>
        <sz val="18"/>
        <rFont val="Helv"/>
      </rPr>
      <t>i</t>
    </r>
  </si>
  <si>
    <r>
      <t>Q</t>
    </r>
    <r>
      <rPr>
        <b/>
        <vertAlign val="subscript"/>
        <sz val="18"/>
        <rFont val="Helv"/>
      </rPr>
      <t>i</t>
    </r>
  </si>
  <si>
    <r>
      <t>P</t>
    </r>
    <r>
      <rPr>
        <b/>
        <vertAlign val="subscript"/>
        <sz val="18"/>
        <rFont val="Helv"/>
      </rPr>
      <t>o</t>
    </r>
    <r>
      <rPr>
        <b/>
        <sz val="12"/>
        <rFont val="Helv"/>
      </rPr>
      <t xml:space="preserve"> =</t>
    </r>
  </si>
  <si>
    <r>
      <t>P</t>
    </r>
    <r>
      <rPr>
        <b/>
        <vertAlign val="subscript"/>
        <sz val="18"/>
        <rFont val="Helv"/>
      </rPr>
      <t>1</t>
    </r>
    <r>
      <rPr>
        <b/>
        <sz val="12"/>
        <rFont val="Helv"/>
      </rPr>
      <t xml:space="preserve"> =</t>
    </r>
  </si>
  <si>
    <r>
      <t>Q</t>
    </r>
    <r>
      <rPr>
        <b/>
        <vertAlign val="subscript"/>
        <sz val="18"/>
        <rFont val="Helv"/>
      </rPr>
      <t>0</t>
    </r>
    <r>
      <rPr>
        <b/>
        <sz val="12"/>
        <rFont val="Helv"/>
      </rPr>
      <t xml:space="preserve"> + Q</t>
    </r>
    <r>
      <rPr>
        <b/>
        <vertAlign val="subscript"/>
        <sz val="18"/>
        <rFont val="Helv"/>
      </rPr>
      <t>1</t>
    </r>
    <r>
      <rPr>
        <b/>
        <sz val="12"/>
        <rFont val="Helv"/>
      </rPr>
      <t xml:space="preserve"> =</t>
    </r>
  </si>
  <si>
    <t>For a given quantity of the exhaustible resource, the solution to an n-period model can be derived in terms of</t>
  </si>
  <si>
    <t>a constrained optimization model, the matrix framework for which is outlined in the following applications.</t>
  </si>
  <si>
    <r>
      <t xml:space="preserve">models is placed on resource substitution.  Indeed, this was one basis of critiques of William Stanley Jevons' 1865 study, </t>
    </r>
    <r>
      <rPr>
        <i/>
        <sz val="12"/>
        <rFont val="Helv"/>
      </rPr>
      <t/>
    </r>
  </si>
  <si>
    <r>
      <t>The Coal Question</t>
    </r>
    <r>
      <rPr>
        <sz val="12"/>
        <rFont val="Helv"/>
      </rPr>
      <t xml:space="preserve">, and the 1970 Club of Rome Report, </t>
    </r>
    <r>
      <rPr>
        <i/>
        <sz val="12"/>
        <rFont val="Helv"/>
      </rPr>
      <t>The Limits to Growth</t>
    </r>
    <r>
      <rPr>
        <sz val="12"/>
        <rFont val="Helv"/>
      </rPr>
      <t>.</t>
    </r>
  </si>
  <si>
    <t>Q1 share</t>
  </si>
  <si>
    <t xml:space="preserve">     One additional question is that none of these models takes up directly the negative externality question of what is the optimal</t>
  </si>
  <si>
    <t>Implications of multi-period exhaustible resource models:</t>
  </si>
  <si>
    <t>The optimal allocation of an exhaustible resource is one that results in the user cost rising at the prevailing rate of discount.  It also is</t>
  </si>
  <si>
    <t>the one that maximizes the present value of the user costs across the investment time horizon.  Using the two-period example, we</t>
  </si>
  <si>
    <t xml:space="preserve">       Discrete Time Models of Exhaustible Resources with Variable Time Horizons</t>
  </si>
  <si>
    <t>Other things equal, an increase in the number of time periods will reduce the consumption in any given period.</t>
  </si>
  <si>
    <t>In addition, the base period price will be correspondingly higher than where a reduced number of time periods is used.</t>
  </si>
  <si>
    <t xml:space="preserve">   Discount Rate:</t>
  </si>
  <si>
    <t>P2 =</t>
  </si>
  <si>
    <t>Q2</t>
  </si>
  <si>
    <t xml:space="preserve">Q0+Q1+Q2 =  </t>
  </si>
  <si>
    <t xml:space="preserve"> =Q2</t>
  </si>
  <si>
    <t xml:space="preserve"> =Lambda, or Pi(o)</t>
  </si>
  <si>
    <t>C.</t>
  </si>
  <si>
    <t>Four-Period Model:</t>
  </si>
  <si>
    <t xml:space="preserve">principle of resource substitution, as in the introduction of backstop technologies.  </t>
  </si>
  <si>
    <t xml:space="preserve">     Beyond these considerations is the fact that if one knew what the terminal time period were, one also would know something</t>
  </si>
  <si>
    <t>relative to the future.  The conservation of a resource is thus consistent with a low rate of discount.</t>
  </si>
  <si>
    <t>Simulation Tableau</t>
  </si>
  <si>
    <t>Simulation Values</t>
  </si>
  <si>
    <t>Base Case</t>
  </si>
  <si>
    <t>Quantity of Exhaustible Resource</t>
  </si>
  <si>
    <t>Base Period Demand Intercept</t>
  </si>
  <si>
    <t>Demand Curve Slope</t>
  </si>
  <si>
    <t>Rate of Increase in Demand</t>
  </si>
  <si>
    <t>Rate of Discount</t>
  </si>
  <si>
    <t>Extraction Cost Rate</t>
  </si>
  <si>
    <t>A.</t>
  </si>
  <si>
    <t>Two-Period Model:</t>
  </si>
  <si>
    <t>Extraction Cost Assumption:</t>
  </si>
  <si>
    <t>Discount Rate:</t>
  </si>
  <si>
    <t>Demand:</t>
  </si>
  <si>
    <t>Po =</t>
  </si>
  <si>
    <t>Q0</t>
  </si>
  <si>
    <t xml:space="preserve"> </t>
  </si>
  <si>
    <t>P1 =</t>
  </si>
  <si>
    <t>Q1</t>
  </si>
  <si>
    <t xml:space="preserve">     The longer is the time horizon for the consumption of an exhaustible resource, the higher will be the initial price and initial user cost.</t>
  </si>
  <si>
    <t>compare here the optimal solution with alternative proportional allocations of the fixed stock of the resource to illustrate the effects</t>
  </si>
  <si>
    <t>on the present value (PVUCi) of the resource over the two time periods.</t>
  </si>
  <si>
    <t>Original Optimal Solution</t>
  </si>
  <si>
    <r>
      <t>PVUC</t>
    </r>
    <r>
      <rPr>
        <b/>
        <vertAlign val="subscript"/>
        <sz val="18"/>
        <rFont val="Helv"/>
      </rPr>
      <t>1</t>
    </r>
  </si>
  <si>
    <r>
      <t>PVUC</t>
    </r>
    <r>
      <rPr>
        <b/>
        <vertAlign val="subscript"/>
        <sz val="18"/>
        <rFont val="Helv"/>
      </rPr>
      <t>0</t>
    </r>
  </si>
  <si>
    <r>
      <t>UC</t>
    </r>
    <r>
      <rPr>
        <b/>
        <vertAlign val="subscript"/>
        <sz val="18"/>
        <rFont val="Helv"/>
      </rPr>
      <t>1</t>
    </r>
  </si>
  <si>
    <t>Although technological change can produce an augmentation in the level of proven reserves, there is no guarantee that this will</t>
  </si>
  <si>
    <t>solve the problem of an efficient allocation of resources over time, which is what gives rise to conservation arguments purely on</t>
  </si>
  <si>
    <t>the grounds of preservation for future generations.  This is the argument put forth in classical economic models in which the steady-state</t>
  </si>
  <si>
    <t>was viewed as an uncertain time horizon that called for increased conservation.  In response, neoclassical models are based on the</t>
  </si>
  <si>
    <t>As with any investment, the higher is the discount rate, the higher will be the rate of extraction in the present</t>
  </si>
  <si>
    <t>Q1%</t>
  </si>
  <si>
    <t>Optimal Present Values of User Costs of a Two-Period Exhaustible Resource</t>
  </si>
  <si>
    <t xml:space="preserve">consumption path for an exhaustible resource when environmental emissions are present.  Other models do take up this question, </t>
  </si>
  <si>
    <t>which leads to discussions of sustainability in which climate change is explicitly taken into consideration.</t>
  </si>
  <si>
    <t>© 2007, 2003, 1999</t>
  </si>
  <si>
    <t>Q0 + Q1 =</t>
  </si>
  <si>
    <t>for:</t>
  </si>
  <si>
    <t xml:space="preserve">AB = C, </t>
  </si>
  <si>
    <t xml:space="preserve">     then:</t>
  </si>
  <si>
    <t>(A^-1)C = B</t>
  </si>
  <si>
    <t>Solution Matrix:</t>
  </si>
  <si>
    <t xml:space="preserve">     A:</t>
  </si>
  <si>
    <t xml:space="preserve">   C:</t>
  </si>
  <si>
    <t>Lambda</t>
  </si>
  <si>
    <t xml:space="preserve"> =Q0</t>
  </si>
  <si>
    <t xml:space="preserve"> =Q1</t>
  </si>
  <si>
    <t>A^-1</t>
  </si>
  <si>
    <t>B:</t>
  </si>
  <si>
    <t xml:space="preserve"> =Lambda</t>
  </si>
  <si>
    <t>B.</t>
  </si>
  <si>
    <t>Three-Period Model:</t>
  </si>
  <si>
    <t xml:space="preserve">     The efficient use of an exhaustible resource is based on a multi-period framework in which the user cost, or</t>
  </si>
  <si>
    <t>UCi:</t>
  </si>
  <si>
    <t>UCi =</t>
  </si>
  <si>
    <t>rent, increases at the prevailing rate of interest.  While there are many formulations that make use of this</t>
  </si>
  <si>
    <t>fundamental principle, we will illustrate here the use of a discrete-time period model for a competitive resource.</t>
  </si>
  <si>
    <t>Two-Period Model</t>
  </si>
  <si>
    <t>Three-Period Model</t>
  </si>
  <si>
    <t>Four-Period Model</t>
  </si>
  <si>
    <t>Discount Rate</t>
  </si>
  <si>
    <t>Present Values Under Alternative Time Horizons</t>
  </si>
  <si>
    <t>P0 =</t>
  </si>
  <si>
    <t>P3 =</t>
  </si>
  <si>
    <t>Q3</t>
  </si>
  <si>
    <t>Q0+Q1+Q2+Q3=</t>
  </si>
  <si>
    <t>C:</t>
  </si>
  <si>
    <t xml:space="preserve"> =Q3</t>
  </si>
  <si>
    <t xml:space="preserve">  then:</t>
  </si>
  <si>
    <t>Demand Growth Rate:</t>
  </si>
  <si>
    <t xml:space="preserve"> P. LeBel</t>
  </si>
  <si>
    <t>Rate of Increase</t>
  </si>
  <si>
    <t>rate of increase</t>
  </si>
  <si>
    <t>MExtCost</t>
  </si>
  <si>
    <t>about the end of the economic world as we know it.  The reality is that we do not, which is why so much emphasis in neoclassical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</si>
</sst>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"/>
    <numFmt numFmtId="165" formatCode="&quot;$&quot;#,##0.00;[Red]\(&quot;$&quot;#,##0.00\)"/>
    <numFmt numFmtId="166" formatCode="0.\ "/>
    <numFmt numFmtId="167" formatCode="&quot;$&quot;#,##0.00"/>
    <numFmt numFmtId="169" formatCode="0.000"/>
    <numFmt numFmtId="170" formatCode="#,##0.000"/>
  </numFmts>
  <fonts count="9">
    <font>
      <sz val="10"/>
      <name val="Geneva"/>
    </font>
    <font>
      <b/>
      <sz val="12"/>
      <name val="Helv"/>
    </font>
    <font>
      <sz val="12"/>
      <name val="Helv"/>
    </font>
    <font>
      <sz val="12"/>
      <name val="Geneva"/>
    </font>
    <font>
      <b/>
      <sz val="12"/>
      <color indexed="12"/>
      <name val="Helv"/>
    </font>
    <font>
      <b/>
      <sz val="10"/>
      <color indexed="12"/>
      <name val="Geneva"/>
    </font>
    <font>
      <i/>
      <sz val="12"/>
      <name val="Helv"/>
    </font>
    <font>
      <b/>
      <sz val="10"/>
      <name val="Helv"/>
    </font>
    <font>
      <b/>
      <vertAlign val="subscript"/>
      <sz val="18"/>
      <name val="Helv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/>
    <xf numFmtId="164" fontId="2" fillId="0" borderId="0" xfId="0" applyNumberFormat="1" applyFont="1"/>
    <xf numFmtId="10" fontId="2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0" fontId="2" fillId="0" borderId="1" xfId="0" applyNumberFormat="1" applyFont="1" applyBorder="1"/>
    <xf numFmtId="0" fontId="1" fillId="0" borderId="2" xfId="0" applyFont="1" applyBorder="1" applyAlignment="1">
      <alignment horizontal="center"/>
    </xf>
    <xf numFmtId="164" fontId="1" fillId="0" borderId="3" xfId="0" applyNumberFormat="1" applyFont="1" applyBorder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164" fontId="1" fillId="0" borderId="6" xfId="0" applyNumberFormat="1" applyFont="1" applyBorder="1"/>
    <xf numFmtId="0" fontId="1" fillId="0" borderId="7" xfId="0" applyFont="1" applyBorder="1"/>
    <xf numFmtId="0" fontId="2" fillId="0" borderId="2" xfId="0" applyFont="1" applyBorder="1"/>
    <xf numFmtId="0" fontId="1" fillId="0" borderId="3" xfId="0" applyFont="1" applyBorder="1" applyAlignment="1">
      <alignment horizontal="right"/>
    </xf>
    <xf numFmtId="164" fontId="2" fillId="0" borderId="3" xfId="0" applyNumberFormat="1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8" xfId="0" applyFont="1" applyBorder="1"/>
    <xf numFmtId="0" fontId="1" fillId="0" borderId="9" xfId="0" applyFont="1" applyBorder="1" applyAlignment="1">
      <alignment horizontal="right"/>
    </xf>
    <xf numFmtId="164" fontId="2" fillId="0" borderId="9" xfId="0" applyNumberFormat="1" applyFont="1" applyBorder="1"/>
    <xf numFmtId="0" fontId="2" fillId="0" borderId="10" xfId="0" applyFont="1" applyBorder="1"/>
    <xf numFmtId="0" fontId="2" fillId="0" borderId="5" xfId="0" applyFont="1" applyBorder="1"/>
    <xf numFmtId="0" fontId="1" fillId="0" borderId="6" xfId="0" applyFont="1" applyBorder="1" applyAlignment="1">
      <alignment horizontal="right"/>
    </xf>
    <xf numFmtId="164" fontId="2" fillId="0" borderId="6" xfId="0" applyNumberFormat="1" applyFont="1" applyBorder="1"/>
    <xf numFmtId="164" fontId="2" fillId="0" borderId="7" xfId="0" applyNumberFormat="1" applyFont="1" applyBorder="1"/>
    <xf numFmtId="0" fontId="2" fillId="0" borderId="2" xfId="0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0" fontId="2" fillId="0" borderId="8" xfId="0" applyFont="1" applyBorder="1" applyAlignment="1">
      <alignment horizontal="center"/>
    </xf>
    <xf numFmtId="164" fontId="1" fillId="0" borderId="9" xfId="0" applyNumberFormat="1" applyFont="1" applyBorder="1" applyAlignment="1">
      <alignment horizontal="right"/>
    </xf>
    <xf numFmtId="10" fontId="1" fillId="0" borderId="10" xfId="0" applyNumberFormat="1" applyFont="1" applyBorder="1"/>
    <xf numFmtId="0" fontId="2" fillId="0" borderId="5" xfId="0" applyFont="1" applyBorder="1" applyAlignment="1">
      <alignment horizontal="center"/>
    </xf>
    <xf numFmtId="164" fontId="1" fillId="0" borderId="6" xfId="0" applyNumberFormat="1" applyFont="1" applyBorder="1" applyAlignment="1">
      <alignment horizontal="right"/>
    </xf>
    <xf numFmtId="10" fontId="1" fillId="0" borderId="11" xfId="0" applyNumberFormat="1" applyFont="1" applyBorder="1"/>
    <xf numFmtId="0" fontId="2" fillId="0" borderId="12" xfId="0" applyFont="1" applyBorder="1" applyAlignment="1">
      <alignment horizontal="center"/>
    </xf>
    <xf numFmtId="164" fontId="2" fillId="0" borderId="13" xfId="0" applyNumberFormat="1" applyFont="1" applyBorder="1"/>
    <xf numFmtId="164" fontId="1" fillId="0" borderId="13" xfId="0" applyNumberFormat="1" applyFont="1" applyBorder="1" applyAlignment="1">
      <alignment horizontal="right"/>
    </xf>
    <xf numFmtId="2" fontId="1" fillId="0" borderId="14" xfId="0" applyNumberFormat="1" applyFont="1" applyBorder="1"/>
    <xf numFmtId="164" fontId="1" fillId="0" borderId="14" xfId="0" applyNumberFormat="1" applyFont="1" applyBorder="1"/>
    <xf numFmtId="2" fontId="1" fillId="0" borderId="3" xfId="0" applyNumberFormat="1" applyFont="1" applyBorder="1"/>
    <xf numFmtId="2" fontId="1" fillId="0" borderId="6" xfId="0" applyNumberFormat="1" applyFont="1" applyBorder="1"/>
    <xf numFmtId="2" fontId="1" fillId="0" borderId="0" xfId="0" applyNumberFormat="1" applyFont="1"/>
    <xf numFmtId="2" fontId="1" fillId="0" borderId="15" xfId="0" applyNumberFormat="1" applyFont="1" applyBorder="1"/>
    <xf numFmtId="2" fontId="1" fillId="0" borderId="4" xfId="0" applyNumberFormat="1" applyFont="1" applyBorder="1"/>
    <xf numFmtId="10" fontId="1" fillId="0" borderId="1" xfId="0" applyNumberFormat="1" applyFont="1" applyBorder="1"/>
    <xf numFmtId="0" fontId="2" fillId="0" borderId="16" xfId="0" applyFont="1" applyBorder="1"/>
    <xf numFmtId="0" fontId="0" fillId="0" borderId="17" xfId="0" applyBorder="1"/>
    <xf numFmtId="164" fontId="1" fillId="0" borderId="17" xfId="0" applyNumberFormat="1" applyFont="1" applyBorder="1"/>
    <xf numFmtId="0" fontId="2" fillId="0" borderId="18" xfId="0" applyFont="1" applyBorder="1"/>
    <xf numFmtId="0" fontId="2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7" xfId="0" applyFont="1" applyBorder="1"/>
    <xf numFmtId="0" fontId="2" fillId="0" borderId="20" xfId="0" applyFont="1" applyBorder="1"/>
    <xf numFmtId="2" fontId="2" fillId="0" borderId="21" xfId="0" applyNumberFormat="1" applyFont="1" applyBorder="1"/>
    <xf numFmtId="0" fontId="1" fillId="0" borderId="22" xfId="0" applyFont="1" applyBorder="1" applyAlignment="1">
      <alignment horizontal="center"/>
    </xf>
    <xf numFmtId="0" fontId="2" fillId="0" borderId="23" xfId="0" applyFont="1" applyBorder="1"/>
    <xf numFmtId="0" fontId="2" fillId="0" borderId="0" xfId="0" applyFont="1" applyBorder="1"/>
    <xf numFmtId="0" fontId="2" fillId="0" borderId="18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0" fillId="0" borderId="2" xfId="0" applyBorder="1"/>
    <xf numFmtId="0" fontId="0" fillId="0" borderId="3" xfId="0" applyBorder="1"/>
    <xf numFmtId="164" fontId="2" fillId="0" borderId="4" xfId="0" applyNumberFormat="1" applyFont="1" applyBorder="1"/>
    <xf numFmtId="0" fontId="1" fillId="0" borderId="20" xfId="0" applyFont="1" applyBorder="1" applyAlignment="1">
      <alignment horizontal="center"/>
    </xf>
    <xf numFmtId="0" fontId="2" fillId="0" borderId="17" xfId="0" applyFont="1" applyBorder="1"/>
    <xf numFmtId="0" fontId="1" fillId="0" borderId="17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10" fontId="1" fillId="0" borderId="26" xfId="0" applyNumberFormat="1" applyFont="1" applyBorder="1" applyAlignment="1">
      <alignment horizontal="center"/>
    </xf>
    <xf numFmtId="10" fontId="1" fillId="0" borderId="22" xfId="0" applyNumberFormat="1" applyFont="1" applyBorder="1" applyAlignment="1">
      <alignment horizontal="center"/>
    </xf>
    <xf numFmtId="10" fontId="1" fillId="0" borderId="27" xfId="0" applyNumberFormat="1" applyFont="1" applyBorder="1" applyAlignment="1">
      <alignment horizontal="center"/>
    </xf>
    <xf numFmtId="164" fontId="2" fillId="0" borderId="28" xfId="0" applyNumberFormat="1" applyFont="1" applyBorder="1"/>
    <xf numFmtId="164" fontId="2" fillId="0" borderId="29" xfId="0" applyNumberFormat="1" applyFont="1" applyBorder="1"/>
    <xf numFmtId="0" fontId="2" fillId="0" borderId="17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" fillId="0" borderId="28" xfId="0" applyFont="1" applyBorder="1" applyAlignment="1">
      <alignment horizontal="right"/>
    </xf>
    <xf numFmtId="0" fontId="2" fillId="0" borderId="24" xfId="0" applyFont="1" applyBorder="1"/>
    <xf numFmtId="2" fontId="1" fillId="0" borderId="0" xfId="0" applyNumberFormat="1" applyFont="1" applyAlignment="1">
      <alignment horizontal="left"/>
    </xf>
    <xf numFmtId="2" fontId="2" fillId="0" borderId="30" xfId="0" applyNumberFormat="1" applyFont="1" applyBorder="1"/>
    <xf numFmtId="0" fontId="3" fillId="0" borderId="4" xfId="0" applyFont="1" applyBorder="1"/>
    <xf numFmtId="0" fontId="2" fillId="0" borderId="6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2" fontId="2" fillId="0" borderId="27" xfId="0" applyNumberFormat="1" applyFont="1" applyBorder="1"/>
    <xf numFmtId="164" fontId="2" fillId="0" borderId="31" xfId="0" applyNumberFormat="1" applyFont="1" applyBorder="1"/>
    <xf numFmtId="164" fontId="2" fillId="0" borderId="17" xfId="0" applyNumberFormat="1" applyFont="1" applyBorder="1"/>
    <xf numFmtId="0" fontId="2" fillId="0" borderId="27" xfId="0" applyFont="1" applyBorder="1"/>
    <xf numFmtId="164" fontId="2" fillId="0" borderId="10" xfId="0" applyNumberFormat="1" applyFont="1" applyBorder="1"/>
    <xf numFmtId="10" fontId="2" fillId="0" borderId="1" xfId="0" applyNumberFormat="1" applyFont="1" applyBorder="1" applyAlignment="1">
      <alignment horizontal="center"/>
    </xf>
    <xf numFmtId="0" fontId="0" fillId="0" borderId="16" xfId="0" applyBorder="1"/>
    <xf numFmtId="0" fontId="3" fillId="0" borderId="17" xfId="0" applyFont="1" applyBorder="1"/>
    <xf numFmtId="10" fontId="2" fillId="0" borderId="32" xfId="0" applyNumberFormat="1" applyFont="1" applyBorder="1"/>
    <xf numFmtId="0" fontId="3" fillId="0" borderId="27" xfId="0" applyFont="1" applyBorder="1"/>
    <xf numFmtId="10" fontId="2" fillId="0" borderId="17" xfId="0" applyNumberFormat="1" applyFont="1" applyBorder="1"/>
    <xf numFmtId="10" fontId="1" fillId="0" borderId="25" xfId="0" applyNumberFormat="1" applyFont="1" applyBorder="1" applyAlignment="1">
      <alignment horizontal="center"/>
    </xf>
    <xf numFmtId="164" fontId="2" fillId="0" borderId="0" xfId="0" applyNumberFormat="1" applyFont="1" applyBorder="1"/>
    <xf numFmtId="0" fontId="2" fillId="0" borderId="0" xfId="0" applyFont="1" applyBorder="1" applyAlignment="1">
      <alignment horizontal="left"/>
    </xf>
    <xf numFmtId="164" fontId="2" fillId="0" borderId="21" xfId="0" applyNumberFormat="1" applyFont="1" applyBorder="1"/>
    <xf numFmtId="164" fontId="1" fillId="0" borderId="3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24" xfId="0" applyFont="1" applyBorder="1"/>
    <xf numFmtId="164" fontId="2" fillId="0" borderId="30" xfId="0" applyNumberFormat="1" applyFont="1" applyBorder="1"/>
    <xf numFmtId="164" fontId="2" fillId="0" borderId="23" xfId="0" applyNumberFormat="1" applyFont="1" applyBorder="1"/>
    <xf numFmtId="10" fontId="2" fillId="0" borderId="27" xfId="0" applyNumberFormat="1" applyFont="1" applyBorder="1"/>
    <xf numFmtId="2" fontId="2" fillId="0" borderId="1" xfId="0" applyNumberFormat="1" applyFont="1" applyBorder="1"/>
    <xf numFmtId="2" fontId="2" fillId="0" borderId="23" xfId="0" applyNumberFormat="1" applyFont="1" applyBorder="1"/>
    <xf numFmtId="164" fontId="4" fillId="0" borderId="33" xfId="0" applyNumberFormat="1" applyFont="1" applyBorder="1"/>
    <xf numFmtId="0" fontId="5" fillId="0" borderId="34" xfId="0" applyFont="1" applyBorder="1"/>
    <xf numFmtId="0" fontId="4" fillId="0" borderId="34" xfId="0" applyFont="1" applyBorder="1" applyAlignment="1">
      <alignment horizontal="center"/>
    </xf>
    <xf numFmtId="0" fontId="4" fillId="0" borderId="34" xfId="0" applyFont="1" applyBorder="1"/>
    <xf numFmtId="10" fontId="4" fillId="0" borderId="34" xfId="0" applyNumberFormat="1" applyFont="1" applyBorder="1"/>
    <xf numFmtId="0" fontId="4" fillId="0" borderId="35" xfId="0" applyFont="1" applyBorder="1"/>
    <xf numFmtId="2" fontId="2" fillId="0" borderId="31" xfId="0" applyNumberFormat="1" applyFont="1" applyBorder="1"/>
    <xf numFmtId="2" fontId="1" fillId="0" borderId="0" xfId="0" applyNumberFormat="1" applyFont="1" applyAlignment="1">
      <alignment horizontal="center"/>
    </xf>
    <xf numFmtId="2" fontId="1" fillId="0" borderId="1" xfId="0" applyNumberFormat="1" applyFont="1" applyBorder="1" applyAlignment="1">
      <alignment horizontal="left"/>
    </xf>
    <xf numFmtId="164" fontId="1" fillId="0" borderId="36" xfId="0" applyNumberFormat="1" applyFont="1" applyBorder="1"/>
    <xf numFmtId="164" fontId="1" fillId="0" borderId="7" xfId="0" applyNumberFormat="1" applyFont="1" applyBorder="1"/>
    <xf numFmtId="10" fontId="2" fillId="0" borderId="23" xfId="0" applyNumberFormat="1" applyFont="1" applyBorder="1"/>
    <xf numFmtId="0" fontId="2" fillId="0" borderId="28" xfId="0" applyFont="1" applyBorder="1"/>
    <xf numFmtId="0" fontId="2" fillId="0" borderId="29" xfId="0" applyFont="1" applyBorder="1"/>
    <xf numFmtId="164" fontId="4" fillId="0" borderId="34" xfId="0" applyNumberFormat="1" applyFont="1" applyBorder="1"/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66" fontId="1" fillId="0" borderId="0" xfId="0" applyNumberFormat="1" applyFont="1"/>
    <xf numFmtId="0" fontId="6" fillId="0" borderId="0" xfId="0" applyFont="1" applyAlignment="1">
      <alignment horizontal="left"/>
    </xf>
    <xf numFmtId="165" fontId="1" fillId="0" borderId="0" xfId="0" applyNumberFormat="1" applyFont="1" applyAlignment="1">
      <alignment horizontal="center"/>
    </xf>
    <xf numFmtId="0" fontId="4" fillId="0" borderId="33" xfId="0" applyFont="1" applyBorder="1"/>
    <xf numFmtId="164" fontId="4" fillId="0" borderId="35" xfId="0" applyNumberFormat="1" applyFont="1" applyBorder="1"/>
    <xf numFmtId="165" fontId="1" fillId="0" borderId="1" xfId="0" applyNumberFormat="1" applyFont="1" applyBorder="1"/>
    <xf numFmtId="2" fontId="1" fillId="0" borderId="21" xfId="0" applyNumberFormat="1" applyFont="1" applyBorder="1"/>
    <xf numFmtId="2" fontId="1" fillId="0" borderId="31" xfId="0" applyNumberFormat="1" applyFont="1" applyBorder="1"/>
    <xf numFmtId="2" fontId="1" fillId="0" borderId="30" xfId="0" applyNumberFormat="1" applyFont="1" applyBorder="1"/>
    <xf numFmtId="2" fontId="1" fillId="0" borderId="22" xfId="0" applyNumberFormat="1" applyFont="1" applyBorder="1"/>
    <xf numFmtId="2" fontId="1" fillId="0" borderId="27" xfId="0" applyNumberFormat="1" applyFont="1" applyBorder="1"/>
    <xf numFmtId="2" fontId="1" fillId="0" borderId="1" xfId="0" applyNumberFormat="1" applyFont="1" applyBorder="1"/>
    <xf numFmtId="0" fontId="7" fillId="0" borderId="0" xfId="0" applyFont="1"/>
    <xf numFmtId="167" fontId="2" fillId="0" borderId="1" xfId="0" applyNumberFormat="1" applyFont="1" applyBorder="1"/>
    <xf numFmtId="164" fontId="4" fillId="0" borderId="0" xfId="0" applyNumberFormat="1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10" fontId="4" fillId="0" borderId="0" xfId="0" applyNumberFormat="1" applyFont="1" applyBorder="1"/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167" fontId="1" fillId="0" borderId="1" xfId="0" applyNumberFormat="1" applyFont="1" applyBorder="1"/>
    <xf numFmtId="0" fontId="1" fillId="0" borderId="28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9" fontId="2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1" fillId="0" borderId="23" xfId="0" applyFont="1" applyBorder="1" applyAlignment="1">
      <alignment horizontal="center"/>
    </xf>
    <xf numFmtId="2" fontId="1" fillId="0" borderId="28" xfId="0" applyNumberFormat="1" applyFont="1" applyBorder="1"/>
    <xf numFmtId="164" fontId="1" fillId="0" borderId="28" xfId="0" applyNumberFormat="1" applyFont="1" applyBorder="1"/>
    <xf numFmtId="0" fontId="1" fillId="0" borderId="28" xfId="0" applyFont="1" applyBorder="1"/>
    <xf numFmtId="169" fontId="2" fillId="0" borderId="29" xfId="0" applyNumberFormat="1" applyFont="1" applyBorder="1"/>
    <xf numFmtId="170" fontId="1" fillId="0" borderId="1" xfId="0" applyNumberFormat="1" applyFont="1" applyBorder="1"/>
    <xf numFmtId="4" fontId="2" fillId="0" borderId="29" xfId="0" applyNumberFormat="1" applyFont="1" applyBorder="1"/>
    <xf numFmtId="169" fontId="2" fillId="0" borderId="22" xfId="0" applyNumberFormat="1" applyFont="1" applyBorder="1"/>
    <xf numFmtId="169" fontId="2" fillId="0" borderId="31" xfId="0" applyNumberFormat="1" applyFont="1" applyBorder="1"/>
    <xf numFmtId="165" fontId="2" fillId="0" borderId="22" xfId="0" applyNumberFormat="1" applyFont="1" applyBorder="1" applyAlignment="1">
      <alignment horizontal="center"/>
    </xf>
    <xf numFmtId="2" fontId="1" fillId="0" borderId="29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Two-Period Extraction Path of an Exhaustible Resource</a:t>
            </a:r>
          </a:p>
        </c:rich>
      </c:tx>
      <c:layout>
        <c:manualLayout>
          <c:xMode val="edge"/>
          <c:yMode val="edge"/>
          <c:x val="0.11525805276922568"/>
          <c:y val="3.5556659949426056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9661667825338497"/>
          <c:y val="0.26223036712701714"/>
          <c:w val="0.74239745754295361"/>
          <c:h val="0.57335114168449519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'Exhaustible Resource Model'!$H$36:$H$37</c:f>
              <c:numCache>
                <c:formatCode>0.00</c:formatCode>
                <c:ptCount val="2"/>
                <c:pt idx="0">
                  <c:v>1030.952380952381</c:v>
                </c:pt>
                <c:pt idx="1">
                  <c:v>969.04761904761904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95-5F4C-8739-146363832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5087696"/>
        <c:axId val="1"/>
      </c:lineChart>
      <c:catAx>
        <c:axId val="15450876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545087696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Two-Period Price Path for the Extraction of an Exhaustible Resource</a:t>
            </a:r>
          </a:p>
        </c:rich>
      </c:tx>
      <c:layout>
        <c:manualLayout>
          <c:xMode val="edge"/>
          <c:yMode val="edge"/>
          <c:x val="0.1769719128635463"/>
          <c:y val="3.539936536255877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6292652295374105"/>
          <c:y val="0.26549524021919074"/>
          <c:w val="0.750023821183601"/>
          <c:h val="0.55754000446030061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DD0806"/>
              </a:solidFill>
              <a:prstDash val="solid"/>
            </a:ln>
          </c:spPr>
          <c:marker>
            <c:symbol val="dash"/>
            <c:size val="6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val>
            <c:numRef>
              <c:f>'Exhaustible Resource Model'!$J$36:$J$37</c:f>
              <c:numCache>
                <c:formatCode>#,##0.000</c:formatCode>
                <c:ptCount val="2"/>
                <c:pt idx="0">
                  <c:v>74.285714285714292</c:v>
                </c:pt>
                <c:pt idx="1">
                  <c:v>81.714285714285722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8C-4440-B691-8A3D8A795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4328096"/>
        <c:axId val="1"/>
      </c:lineChart>
      <c:catAx>
        <c:axId val="14843280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484328096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Three-Period Extraction Path of an Exhaustible Resource</a:t>
            </a:r>
          </a:p>
        </c:rich>
      </c:tx>
      <c:layout>
        <c:manualLayout>
          <c:xMode val="edge"/>
          <c:yMode val="edge"/>
          <c:x val="0.11438298062471709"/>
          <c:y val="3.5212397067703967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4379574707107293"/>
          <c:y val="0.19366818387237184"/>
          <c:w val="0.82028937533725688"/>
          <c:h val="0.66903554428637535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ash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'Exhaustible Resource Model'!$I$87:$I$89</c:f>
              <c:numCache>
                <c:formatCode>0.00</c:formatCode>
                <c:ptCount val="3"/>
                <c:pt idx="0">
                  <c:v>758.76132930513586</c:v>
                </c:pt>
                <c:pt idx="1">
                  <c:v>669.63746223564954</c:v>
                </c:pt>
                <c:pt idx="2">
                  <c:v>571.60120845921438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D4-DC44-BD2E-F8CD18D0E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4669456"/>
        <c:axId val="1"/>
      </c:lineChart>
      <c:catAx>
        <c:axId val="14846694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484669456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/>
    <c:pageMargins b="1" l="0.75" r="0.75" t="1" header="0.5" footer="0.5"/>
    <c:pageSetup paperSize="0" orientation="landscape" horizontalDpi="-4" verticalDpi="-4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Three-Period Price Path for the Extraction of an Exhaustible Resource</a:t>
            </a:r>
          </a:p>
        </c:rich>
      </c:tx>
      <c:layout>
        <c:manualLayout>
          <c:xMode val="edge"/>
          <c:yMode val="edge"/>
          <c:x val="0.16239830195169133"/>
          <c:y val="3.5212397067703967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4530374385151329"/>
          <c:y val="0.22535934123330539"/>
          <c:w val="0.82338788182524192"/>
          <c:h val="0.62678066780513064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DD0806"/>
              </a:solidFill>
              <a:prstDash val="solid"/>
            </a:ln>
          </c:spPr>
          <c:marker>
            <c:symbol val="dash"/>
            <c:size val="6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val>
            <c:numRef>
              <c:f>'Exhaustible Resource Model'!$K$87:$K$89</c:f>
              <c:numCache>
                <c:formatCode>"$"#,##0.00;[Red]\("$"#,##0.00\)</c:formatCode>
                <c:ptCount val="3"/>
                <c:pt idx="0">
                  <c:v>106.9486404833837</c:v>
                </c:pt>
                <c:pt idx="1">
                  <c:v>117.64350453172206</c:v>
                </c:pt>
                <c:pt idx="2">
                  <c:v>129.40785498489427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49-3849-B387-2DDCF0C7E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4082944"/>
        <c:axId val="1"/>
      </c:lineChart>
      <c:catAx>
        <c:axId val="1484082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&quot;$&quot;#,##0.00;[Red]\(&quot;$&quot;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484082944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Four-Period Extraction Path of an Exhaustible Resource</a:t>
            </a:r>
          </a:p>
        </c:rich>
      </c:tx>
      <c:layout>
        <c:manualLayout>
          <c:xMode val="edge"/>
          <c:yMode val="edge"/>
          <c:x val="0.12459431531632223"/>
          <c:y val="3.6586561815096015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4754589971669738"/>
          <c:y val="0.21545419735556542"/>
          <c:w val="0.81642064509905887"/>
          <c:h val="0.6504277656017069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ash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'Exhaustible Resource Model'!$J$154:$J$157</c:f>
              <c:numCache>
                <c:formatCode>0.00</c:formatCode>
                <c:ptCount val="4"/>
                <c:pt idx="0">
                  <c:v>658.83430295195012</c:v>
                </c:pt>
                <c:pt idx="1">
                  <c:v>559.71773324714502</c:v>
                </c:pt>
                <c:pt idx="2">
                  <c:v>450.6895065718594</c:v>
                </c:pt>
                <c:pt idx="3">
                  <c:v>330.75845722904512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9D-324E-A753-CC837C748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4149376"/>
        <c:axId val="1"/>
      </c:lineChart>
      <c:catAx>
        <c:axId val="15441493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544149376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Four-Period Price Path for the Extraction of an Exhaustible Resource</a:t>
            </a:r>
          </a:p>
        </c:rich>
      </c:tx>
      <c:layout>
        <c:manualLayout>
          <c:xMode val="edge"/>
          <c:yMode val="edge"/>
          <c:x val="0.17598346676903182"/>
          <c:y val="3.6438471529478746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4246280643207337"/>
          <c:y val="0.22267954823570346"/>
          <c:w val="0.82684295497830818"/>
          <c:h val="0.65994120658944844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DD0806"/>
              </a:solidFill>
              <a:prstDash val="solid"/>
            </a:ln>
          </c:spPr>
          <c:marker>
            <c:symbol val="dash"/>
            <c:size val="6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val>
            <c:numRef>
              <c:f>'Exhaustible Resource Model'!$L$154:$L$157</c:f>
              <c:numCache>
                <c:formatCode>"$"#,##0.00;[Red]\("$"#,##0.00\)</c:formatCode>
                <c:ptCount val="4"/>
                <c:pt idx="0">
                  <c:v>118.93988364576599</c:v>
                </c:pt>
                <c:pt idx="1">
                  <c:v>130.83387201034259</c:v>
                </c:pt>
                <c:pt idx="2">
                  <c:v>143.91725921137686</c:v>
                </c:pt>
                <c:pt idx="3">
                  <c:v>158.30898513251458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09-984C-9E7E-4387C12DA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4139584"/>
        <c:axId val="1"/>
      </c:lineChart>
      <c:catAx>
        <c:axId val="14841395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&quot;$&quot;#,##0.00;[Red]\(&quot;$&quot;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484139584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D4"/>
                </a:solidFill>
                <a:latin typeface="Helv"/>
                <a:ea typeface="Helv"/>
                <a:cs typeface="Helv"/>
              </a:defRPr>
            </a:pPr>
            <a:r>
              <a:rPr lang="en-US"/>
              <a:t>Present Values of User Costs  as a Function of Different Proportional Allocations Between Qo and Q1</a:t>
            </a:r>
          </a:p>
        </c:rich>
      </c:tx>
      <c:layout>
        <c:manualLayout>
          <c:xMode val="edge"/>
          <c:yMode val="edge"/>
          <c:x val="0.15240217004738554"/>
          <c:y val="3.4844272642822388E-2"/>
        </c:manualLayout>
      </c:layout>
      <c:overlay val="0"/>
      <c:spPr>
        <a:noFill/>
        <a:ln w="25400">
          <a:solidFill>
            <a:srgbClr val="DD0806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0.14384025038180209"/>
          <c:y val="0.23345662670690998"/>
          <c:w val="0.79283376103302816"/>
          <c:h val="0.56099278954944043"/>
        </c:manualLayout>
      </c:layout>
      <c:lineChart>
        <c:grouping val="standard"/>
        <c:varyColors val="0"/>
        <c:ser>
          <c:idx val="0"/>
          <c:order val="0"/>
          <c:tx>
            <c:strRef>
              <c:f>'Exhaustible Resource Model'!$J$212</c:f>
              <c:strCache>
                <c:ptCount val="1"/>
                <c:pt idx="0">
                  <c:v>PVUCi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F305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name>PVUCi Trend</c:nam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Mode val="edge"/>
                  <c:yMode val="edge"/>
                  <c:x val="0.38871115281748897"/>
                  <c:y val="0.4425222625638443"/>
                </c:manualLayout>
              </c:layout>
              <c:tx>
                <c:rich>
                  <a:bodyPr/>
                  <a:lstStyle/>
                  <a:p>
                    <a:pPr>
                      <a:defRPr sz="1075" b="0" i="0" u="none" strike="noStrike" baseline="0">
                        <a:solidFill>
                          <a:srgbClr val="000000"/>
                        </a:solidFill>
                        <a:latin typeface="Helv"/>
                        <a:ea typeface="Helv"/>
                        <a:cs typeface="Helv"/>
                      </a:defRPr>
                    </a:pPr>
                    <a:r>
                      <a:rPr lang="en-US" sz="1075" b="0" i="0" u="none" strike="noStrike" baseline="0">
                        <a:solidFill>
                          <a:srgbClr val="000000"/>
                        </a:solidFill>
                        <a:latin typeface="Helv" charset="0"/>
                      </a:rPr>
                      <a:t>y = -7.6875x</a:t>
                    </a:r>
                    <a:r>
                      <a:rPr lang="en-US" sz="1075" b="0" i="0" u="none" strike="noStrike" baseline="30000">
                        <a:solidFill>
                          <a:srgbClr val="000000"/>
                        </a:solidFill>
                        <a:latin typeface="Helv" charset="0"/>
                      </a:rPr>
                      <a:t>2</a:t>
                    </a:r>
                    <a:r>
                      <a:rPr lang="en-US" sz="1075" b="0" i="0" u="none" strike="noStrike" baseline="0">
                        <a:solidFill>
                          <a:srgbClr val="000000"/>
                        </a:solidFill>
                        <a:latin typeface="Helv" charset="0"/>
                      </a:rPr>
                      <a:t> + 169.3x - 236.62</a:t>
                    </a:r>
                  </a:p>
                  <a:p>
                    <a:pPr>
                      <a:defRPr sz="1075" b="0" i="0" u="none" strike="noStrike" baseline="0">
                        <a:solidFill>
                          <a:srgbClr val="000000"/>
                        </a:solidFill>
                        <a:latin typeface="Helv"/>
                        <a:ea typeface="Helv"/>
                        <a:cs typeface="Helv"/>
                      </a:defRPr>
                    </a:pPr>
                    <a:r>
                      <a:rPr lang="en-US" sz="1075" b="0" i="0" u="none" strike="noStrike" baseline="0">
                        <a:solidFill>
                          <a:srgbClr val="000000"/>
                        </a:solidFill>
                        <a:latin typeface="Helv" charset="0"/>
                      </a:rPr>
                      <a:t>R</a:t>
                    </a:r>
                    <a:r>
                      <a:rPr lang="en-US" sz="1075" b="0" i="0" u="none" strike="noStrike" baseline="30000">
                        <a:solidFill>
                          <a:srgbClr val="000000"/>
                        </a:solidFill>
                        <a:latin typeface="Helv" charset="0"/>
                      </a:rPr>
                      <a:t>2</a:t>
                    </a:r>
                    <a:r>
                      <a:rPr lang="en-US" sz="1075" b="0" i="0" u="none" strike="noStrike" baseline="0">
                        <a:solidFill>
                          <a:srgbClr val="000000"/>
                        </a:solidFill>
                        <a:latin typeface="Helv" charset="0"/>
                      </a:rPr>
                      <a:t> = 1.00</a:t>
                    </a:r>
                  </a:p>
                </c:rich>
              </c:tx>
              <c:numFmt formatCode="General" sourceLinked="0"/>
              <c:spPr>
                <a:solidFill>
                  <a:srgbClr val="FFFFFF"/>
                </a:solidFill>
                <a:ln w="25400">
                  <a:solidFill>
                    <a:srgbClr val="000000"/>
                  </a:solidFill>
                  <a:prstDash val="solid"/>
                </a:ln>
              </c:spPr>
            </c:trendlineLbl>
          </c:trendline>
          <c:cat>
            <c:numRef>
              <c:f>'Exhaustible Resource Model'!$C$213:$C$233</c:f>
              <c:numCache>
                <c:formatCode>0.000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'Exhaustible Resource Model'!$J$213:$J$233</c:f>
              <c:numCache>
                <c:formatCode>"$"#,##0.00</c:formatCode>
                <c:ptCount val="21"/>
                <c:pt idx="0">
                  <c:v>-80000</c:v>
                </c:pt>
                <c:pt idx="1">
                  <c:v>-36109.090909090912</c:v>
                </c:pt>
                <c:pt idx="2">
                  <c:v>3199.9999999999964</c:v>
                </c:pt>
                <c:pt idx="3">
                  <c:v>37927.272727272721</c:v>
                </c:pt>
                <c:pt idx="4">
                  <c:v>68072.727272727265</c:v>
                </c:pt>
                <c:pt idx="5">
                  <c:v>93636.363636363632</c:v>
                </c:pt>
                <c:pt idx="6">
                  <c:v>114618.18181818181</c:v>
                </c:pt>
                <c:pt idx="7">
                  <c:v>131018.18181818181</c:v>
                </c:pt>
                <c:pt idx="8">
                  <c:v>142836.36363636365</c:v>
                </c:pt>
                <c:pt idx="9">
                  <c:v>150072.72727272726</c:v>
                </c:pt>
                <c:pt idx="10">
                  <c:v>152727.27272727271</c:v>
                </c:pt>
                <c:pt idx="11">
                  <c:v>150800</c:v>
                </c:pt>
                <c:pt idx="12">
                  <c:v>144290.90909090909</c:v>
                </c:pt>
                <c:pt idx="13">
                  <c:v>133200</c:v>
                </c:pt>
                <c:pt idx="14">
                  <c:v>117527.27272727272</c:v>
                </c:pt>
                <c:pt idx="15">
                  <c:v>97272.727272727265</c:v>
                </c:pt>
                <c:pt idx="16">
                  <c:v>72436.363636363632</c:v>
                </c:pt>
                <c:pt idx="17">
                  <c:v>43018.181818181816</c:v>
                </c:pt>
                <c:pt idx="18">
                  <c:v>9018.1818181818198</c:v>
                </c:pt>
                <c:pt idx="19">
                  <c:v>-29563.63636363636</c:v>
                </c:pt>
                <c:pt idx="20">
                  <c:v>-72727.272727272721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EA-6E4E-95FE-6AB938F5F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848976"/>
        <c:axId val="1"/>
      </c:lineChart>
      <c:catAx>
        <c:axId val="1483848976"/>
        <c:scaling>
          <c:orientation val="minMax"/>
        </c:scaling>
        <c:delete val="0"/>
        <c:axPos val="b"/>
        <c:numFmt formatCode="0.0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\$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483848976"/>
        <c:crosses val="autoZero"/>
        <c:crossBetween val="midCat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501208135255548"/>
          <c:y val="0.8676223888062774"/>
          <c:w val="0.26713189356620387"/>
          <c:h val="7.31729725499270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85" b="0" i="0" u="none" strike="noStrike" baseline="0">
              <a:solidFill>
                <a:srgbClr val="000000"/>
              </a:solidFill>
              <a:latin typeface="Helv"/>
              <a:ea typeface="Helv"/>
              <a:cs typeface="Helv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39</xdr:row>
      <xdr:rowOff>139700</xdr:rowOff>
    </xdr:from>
    <xdr:to>
      <xdr:col>6</xdr:col>
      <xdr:colOff>317500</xdr:colOff>
      <xdr:row>57</xdr:row>
      <xdr:rowOff>25400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6B20D638-B55A-F140-A21B-0A37579EAC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609600</xdr:colOff>
      <xdr:row>39</xdr:row>
      <xdr:rowOff>127000</xdr:rowOff>
    </xdr:from>
    <xdr:to>
      <xdr:col>12</xdr:col>
      <xdr:colOff>50800</xdr:colOff>
      <xdr:row>57</xdr:row>
      <xdr:rowOff>25400</xdr:rowOff>
    </xdr:to>
    <xdr:graphicFrame macro="">
      <xdr:nvGraphicFramePr>
        <xdr:cNvPr id="1026" name="Chart 2">
          <a:extLst>
            <a:ext uri="{FF2B5EF4-FFF2-40B4-BE49-F238E27FC236}">
              <a16:creationId xmlns:a16="http://schemas.microsoft.com/office/drawing/2014/main" id="{8259A4FF-96D9-3546-B858-E62ECD557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92</xdr:row>
      <xdr:rowOff>152400</xdr:rowOff>
    </xdr:from>
    <xdr:to>
      <xdr:col>6</xdr:col>
      <xdr:colOff>342900</xdr:colOff>
      <xdr:row>114</xdr:row>
      <xdr:rowOff>127000</xdr:rowOff>
    </xdr:to>
    <xdr:graphicFrame macro="">
      <xdr:nvGraphicFramePr>
        <xdr:cNvPr id="1027" name="Chart 3">
          <a:extLst>
            <a:ext uri="{FF2B5EF4-FFF2-40B4-BE49-F238E27FC236}">
              <a16:creationId xmlns:a16="http://schemas.microsoft.com/office/drawing/2014/main" id="{903D2C37-FEAF-764E-A8F9-08176A1C51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571500</xdr:colOff>
      <xdr:row>93</xdr:row>
      <xdr:rowOff>12700</xdr:rowOff>
    </xdr:from>
    <xdr:to>
      <xdr:col>11</xdr:col>
      <xdr:colOff>609600</xdr:colOff>
      <xdr:row>114</xdr:row>
      <xdr:rowOff>152400</xdr:rowOff>
    </xdr:to>
    <xdr:graphicFrame macro="">
      <xdr:nvGraphicFramePr>
        <xdr:cNvPr id="1028" name="Chart 4">
          <a:extLst>
            <a:ext uri="{FF2B5EF4-FFF2-40B4-BE49-F238E27FC236}">
              <a16:creationId xmlns:a16="http://schemas.microsoft.com/office/drawing/2014/main" id="{21E56B34-1B73-1446-823A-40D03AB85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38100</xdr:colOff>
      <xdr:row>161</xdr:row>
      <xdr:rowOff>0</xdr:rowOff>
    </xdr:from>
    <xdr:to>
      <xdr:col>6</xdr:col>
      <xdr:colOff>368300</xdr:colOff>
      <xdr:row>179</xdr:row>
      <xdr:rowOff>152400</xdr:rowOff>
    </xdr:to>
    <xdr:graphicFrame macro="">
      <xdr:nvGraphicFramePr>
        <xdr:cNvPr id="1029" name="Chart 5">
          <a:extLst>
            <a:ext uri="{FF2B5EF4-FFF2-40B4-BE49-F238E27FC236}">
              <a16:creationId xmlns:a16="http://schemas.microsoft.com/office/drawing/2014/main" id="{1D0BEA42-7677-F948-9C13-FB6C3AFB6F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596900</xdr:colOff>
      <xdr:row>161</xdr:row>
      <xdr:rowOff>0</xdr:rowOff>
    </xdr:from>
    <xdr:to>
      <xdr:col>12</xdr:col>
      <xdr:colOff>63500</xdr:colOff>
      <xdr:row>180</xdr:row>
      <xdr:rowOff>0</xdr:rowOff>
    </xdr:to>
    <xdr:graphicFrame macro="">
      <xdr:nvGraphicFramePr>
        <xdr:cNvPr id="1030" name="Chart 6">
          <a:extLst>
            <a:ext uri="{FF2B5EF4-FFF2-40B4-BE49-F238E27FC236}">
              <a16:creationId xmlns:a16="http://schemas.microsoft.com/office/drawing/2014/main" id="{028BA1F2-E66D-E346-B5E1-937C6E18FC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50800</xdr:colOff>
      <xdr:row>233</xdr:row>
      <xdr:rowOff>101600</xdr:rowOff>
    </xdr:from>
    <xdr:to>
      <xdr:col>10</xdr:col>
      <xdr:colOff>469900</xdr:colOff>
      <xdr:row>255</xdr:row>
      <xdr:rowOff>114300</xdr:rowOff>
    </xdr:to>
    <xdr:graphicFrame macro="">
      <xdr:nvGraphicFramePr>
        <xdr:cNvPr id="1033" name="Chart 9">
          <a:extLst>
            <a:ext uri="{FF2B5EF4-FFF2-40B4-BE49-F238E27FC236}">
              <a16:creationId xmlns:a16="http://schemas.microsoft.com/office/drawing/2014/main" id="{7A533D56-9737-1646-8E38-F38924E1BE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0.80722</cdr:x>
      <cdr:y>0.90272</cdr:y>
    </cdr:from>
    <cdr:to>
      <cdr:x>0.92543</cdr:x>
      <cdr:y>0.9647</cdr:y>
    </cdr:to>
    <cdr:sp macro="" textlink="">
      <cdr:nvSpPr>
        <cdr:cNvPr id="2049" name="Text 1">
          <a:extLst xmlns:a="http://schemas.openxmlformats.org/drawingml/2006/main">
            <a:ext uri="{FF2B5EF4-FFF2-40B4-BE49-F238E27FC236}">
              <a16:creationId xmlns:a16="http://schemas.microsoft.com/office/drawing/2014/main" id="{E4E934B1-FE93-8749-9C41-95C4306643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34487" y="2590991"/>
          <a:ext cx="444399" cy="1778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0.78986</cdr:x>
      <cdr:y>0.8765</cdr:y>
    </cdr:from>
    <cdr:to>
      <cdr:x>0.88786</cdr:x>
      <cdr:y>0.93824</cdr:y>
    </cdr:to>
    <cdr:sp macro="" textlink="">
      <cdr:nvSpPr>
        <cdr:cNvPr id="3073" name="Text 1">
          <a:extLst xmlns:a="http://schemas.openxmlformats.org/drawingml/2006/main">
            <a:ext uri="{FF2B5EF4-FFF2-40B4-BE49-F238E27FC236}">
              <a16:creationId xmlns:a16="http://schemas.microsoft.com/office/drawing/2014/main" id="{84E9D94F-5680-5541-9FB2-94002DDE02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1127" y="2526852"/>
          <a:ext cx="444338" cy="1780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0.78269</cdr:x>
      <cdr:y>0.91137</cdr:y>
    </cdr:from>
    <cdr:to>
      <cdr:x>0.89664</cdr:x>
      <cdr:y>0.96045</cdr:y>
    </cdr:to>
    <cdr:sp macro="" textlink="">
      <cdr:nvSpPr>
        <cdr:cNvPr id="4097" name="Text 1">
          <a:extLst xmlns:a="http://schemas.openxmlformats.org/drawingml/2006/main">
            <a:ext uri="{FF2B5EF4-FFF2-40B4-BE49-F238E27FC236}">
              <a16:creationId xmlns:a16="http://schemas.microsoft.com/office/drawing/2014/main" id="{226C7806-D14B-9A42-B5E6-767943236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51616" y="3298701"/>
          <a:ext cx="444284" cy="177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0.80906</cdr:x>
      <cdr:y>0.90311</cdr:y>
    </cdr:from>
    <cdr:to>
      <cdr:x>0.9085</cdr:x>
      <cdr:y>0.95219</cdr:y>
    </cdr:to>
    <cdr:sp macro="" textlink="">
      <cdr:nvSpPr>
        <cdr:cNvPr id="5121" name="Text 1">
          <a:extLst xmlns:a="http://schemas.openxmlformats.org/drawingml/2006/main">
            <a:ext uri="{FF2B5EF4-FFF2-40B4-BE49-F238E27FC236}">
              <a16:creationId xmlns:a16="http://schemas.microsoft.com/office/drawing/2014/main" id="{F5B8DF35-78CE-6643-B39C-BB68895801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16833" y="3268799"/>
          <a:ext cx="444525" cy="177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0.82235</cdr:x>
      <cdr:y>0.90785</cdr:y>
    </cdr:from>
    <cdr:to>
      <cdr:x>0.93677</cdr:x>
      <cdr:y>0.96445</cdr:y>
    </cdr:to>
    <cdr:sp macro="" textlink="">
      <cdr:nvSpPr>
        <cdr:cNvPr id="6145" name="Text 1">
          <a:extLst xmlns:a="http://schemas.openxmlformats.org/drawingml/2006/main">
            <a:ext uri="{FF2B5EF4-FFF2-40B4-BE49-F238E27FC236}">
              <a16:creationId xmlns:a16="http://schemas.microsoft.com/office/drawing/2014/main" id="{0DD39A64-1BAC-CF4F-89D2-8E0FEE7DD8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95803" y="2847829"/>
          <a:ext cx="444690" cy="1775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0.82973</cdr:x>
      <cdr:y>0.91395</cdr:y>
    </cdr:from>
    <cdr:to>
      <cdr:x>0.92726</cdr:x>
      <cdr:y>0.97032</cdr:y>
    </cdr:to>
    <cdr:sp macro="" textlink="">
      <cdr:nvSpPr>
        <cdr:cNvPr id="7169" name="Text 1">
          <a:extLst xmlns:a="http://schemas.openxmlformats.org/drawingml/2006/main">
            <a:ext uri="{FF2B5EF4-FFF2-40B4-BE49-F238E27FC236}">
              <a16:creationId xmlns:a16="http://schemas.microsoft.com/office/drawing/2014/main" id="{F97A6C37-4913-6B4E-A0B3-4A2E314F16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83009" y="2878582"/>
          <a:ext cx="444656" cy="1775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Helv" charset="0"/>
            </a:rPr>
            <a:t>Period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3"/>
  <sheetViews>
    <sheetView tabSelected="1" topLeftCell="B1" zoomScale="125" workbookViewId="0">
      <selection activeCell="B2" sqref="B2"/>
    </sheetView>
  </sheetViews>
  <sheetFormatPr baseColWidth="10" defaultRowHeight="13" customHeight="1"/>
  <cols>
    <col min="1" max="1" width="3.42578125" style="2" customWidth="1"/>
    <col min="2" max="2" width="3.28515625" style="3" customWidth="1"/>
    <col min="3" max="3" width="5.7109375" style="10" customWidth="1"/>
    <col min="4" max="4" width="10" style="4" customWidth="1"/>
    <col min="5" max="5" width="10.85546875" style="4" customWidth="1"/>
    <col min="6" max="6" width="10" style="3" customWidth="1"/>
    <col min="7" max="7" width="11.7109375" style="3" customWidth="1"/>
    <col min="8" max="8" width="9.85546875" style="5" customWidth="1"/>
    <col min="9" max="9" width="10.140625" style="3" customWidth="1"/>
    <col min="10" max="10" width="10.42578125" style="3" customWidth="1"/>
    <col min="11" max="11" width="7.5703125" style="3" customWidth="1"/>
    <col min="12" max="12" width="7.42578125" style="3" customWidth="1"/>
    <col min="13" max="13" width="6.85546875" style="3" customWidth="1"/>
    <col min="14" max="14" width="10.7109375" style="3"/>
    <col min="15" max="15" width="2.28515625" style="3" customWidth="1"/>
    <col min="16" max="16" width="3" style="3" customWidth="1"/>
    <col min="17" max="17" width="3.85546875" style="3" customWidth="1"/>
    <col min="18" max="16384" width="10.7109375" style="3"/>
  </cols>
  <sheetData>
    <row r="1" spans="2:14" ht="13" customHeight="1" thickBot="1">
      <c r="E1" s="11"/>
      <c r="F1"/>
      <c r="H1" s="3"/>
      <c r="I1" s="5"/>
      <c r="J1"/>
      <c r="K1"/>
    </row>
    <row r="2" spans="2:14" ht="14" customHeight="1" thickBot="1">
      <c r="C2"/>
      <c r="D2" s="117"/>
      <c r="E2" s="131"/>
      <c r="F2" s="118"/>
      <c r="G2" s="119" t="s">
        <v>18</v>
      </c>
      <c r="H2" s="120"/>
      <c r="I2" s="121"/>
      <c r="J2" s="120"/>
      <c r="K2" s="122"/>
    </row>
    <row r="3" spans="2:14" ht="16">
      <c r="B3" s="146" t="s">
        <v>67</v>
      </c>
      <c r="C3" s="1"/>
      <c r="F3"/>
      <c r="H3" s="3"/>
      <c r="I3" s="5"/>
      <c r="N3" s="6" t="s">
        <v>102</v>
      </c>
    </row>
    <row r="4" spans="2:14" ht="13" customHeight="1">
      <c r="B4" s="3" t="s">
        <v>84</v>
      </c>
      <c r="C4" s="1"/>
    </row>
    <row r="5" spans="2:14" ht="13" customHeight="1">
      <c r="B5" s="3" t="s">
        <v>87</v>
      </c>
    </row>
    <row r="6" spans="2:14" ht="13" customHeight="1">
      <c r="B6" s="3" t="s">
        <v>88</v>
      </c>
    </row>
    <row r="7" spans="2:14" ht="13" customHeight="1">
      <c r="B7" s="3" t="s">
        <v>9</v>
      </c>
    </row>
    <row r="8" spans="2:14" ht="13" customHeight="1">
      <c r="B8" s="3" t="s">
        <v>10</v>
      </c>
    </row>
    <row r="9" spans="2:14" ht="13" customHeight="1">
      <c r="B9" s="3" t="s">
        <v>62</v>
      </c>
    </row>
    <row r="10" spans="2:14" ht="13" customHeight="1" thickBot="1">
      <c r="B10" s="3" t="s">
        <v>31</v>
      </c>
    </row>
    <row r="11" spans="2:14" ht="17" thickBot="1">
      <c r="C11"/>
      <c r="D11" s="10"/>
      <c r="F11" s="117"/>
      <c r="G11" s="119" t="s">
        <v>32</v>
      </c>
      <c r="H11" s="122"/>
    </row>
    <row r="12" spans="2:14" ht="17" thickBot="1">
      <c r="C12"/>
      <c r="D12"/>
      <c r="E12" s="10"/>
      <c r="F12" s="4"/>
      <c r="G12" s="4"/>
      <c r="H12" s="6" t="s">
        <v>33</v>
      </c>
      <c r="I12" s="1" t="s">
        <v>34</v>
      </c>
    </row>
    <row r="13" spans="2:14" ht="13" customHeight="1">
      <c r="C13"/>
      <c r="D13"/>
      <c r="E13" s="32"/>
      <c r="F13" s="21"/>
      <c r="G13" s="33" t="s">
        <v>35</v>
      </c>
      <c r="H13" s="48">
        <v>2000</v>
      </c>
      <c r="I13" s="49">
        <v>150</v>
      </c>
    </row>
    <row r="14" spans="2:14" ht="13" customHeight="1">
      <c r="C14"/>
      <c r="D14"/>
      <c r="E14" s="40"/>
      <c r="F14" s="41"/>
      <c r="G14" s="42" t="s">
        <v>36</v>
      </c>
      <c r="H14" s="43">
        <v>200</v>
      </c>
      <c r="I14" s="43">
        <v>10</v>
      </c>
    </row>
    <row r="15" spans="2:14" ht="13" customHeight="1">
      <c r="C15"/>
      <c r="D15"/>
      <c r="E15" s="40"/>
      <c r="F15" s="41"/>
      <c r="G15" s="42" t="s">
        <v>37</v>
      </c>
      <c r="H15" s="44">
        <v>-0.12</v>
      </c>
      <c r="I15" s="44">
        <v>-0.05</v>
      </c>
    </row>
    <row r="16" spans="2:14" ht="13" customHeight="1">
      <c r="C16"/>
      <c r="D16"/>
      <c r="E16" s="34"/>
      <c r="F16" s="26"/>
      <c r="G16" s="35" t="s">
        <v>38</v>
      </c>
      <c r="H16" s="39">
        <v>0</v>
      </c>
      <c r="I16" s="36">
        <v>0</v>
      </c>
    </row>
    <row r="17" spans="1:10" ht="13" customHeight="1">
      <c r="C17"/>
      <c r="D17"/>
      <c r="E17" s="34"/>
      <c r="F17" s="26"/>
      <c r="G17" s="35" t="s">
        <v>39</v>
      </c>
      <c r="H17" s="39">
        <v>0.1</v>
      </c>
      <c r="I17" s="36">
        <v>0.05</v>
      </c>
    </row>
    <row r="18" spans="1:10" ht="17" thickBot="1">
      <c r="C18"/>
      <c r="D18"/>
      <c r="E18" s="37"/>
      <c r="F18" s="30"/>
      <c r="G18" s="38" t="s">
        <v>40</v>
      </c>
      <c r="H18" s="126">
        <v>2</v>
      </c>
      <c r="I18" s="127">
        <v>0</v>
      </c>
    </row>
    <row r="19" spans="1:10" ht="13" customHeight="1" thickBot="1"/>
    <row r="20" spans="1:10" ht="18" thickBot="1">
      <c r="A20" s="6" t="s">
        <v>41</v>
      </c>
      <c r="B20" s="137" t="s">
        <v>42</v>
      </c>
      <c r="C20" s="119"/>
      <c r="D20" s="138"/>
      <c r="G20" s="9"/>
    </row>
    <row r="21" spans="1:10" ht="17" thickBot="1">
      <c r="B21"/>
      <c r="C21"/>
      <c r="D21" s="8"/>
      <c r="E21" s="6" t="s">
        <v>43</v>
      </c>
      <c r="F21" s="136">
        <f>H18</f>
        <v>2</v>
      </c>
      <c r="H21" s="6" t="s">
        <v>44</v>
      </c>
      <c r="I21" s="50">
        <f>$H$17</f>
        <v>0.1</v>
      </c>
    </row>
    <row r="22" spans="1:10" ht="17" thickBot="1">
      <c r="B22"/>
      <c r="C22" s="6" t="s">
        <v>45</v>
      </c>
      <c r="D22" s="160" t="s">
        <v>46</v>
      </c>
      <c r="E22" s="161">
        <f>H14</f>
        <v>200</v>
      </c>
      <c r="F22" s="162">
        <f>H15</f>
        <v>-0.12</v>
      </c>
      <c r="G22" s="163" t="s">
        <v>47</v>
      </c>
      <c r="H22" s="81">
        <f>-H18</f>
        <v>-2</v>
      </c>
      <c r="I22"/>
    </row>
    <row r="23" spans="1:10" ht="17" thickBot="1">
      <c r="B23"/>
      <c r="C23" s="3"/>
      <c r="D23" s="160" t="s">
        <v>49</v>
      </c>
      <c r="E23" s="161">
        <f>H14*(1+$H$16)</f>
        <v>200</v>
      </c>
      <c r="F23" s="162">
        <f>H15</f>
        <v>-0.12</v>
      </c>
      <c r="G23" s="163" t="s">
        <v>50</v>
      </c>
      <c r="H23" s="81">
        <f>-H18</f>
        <v>-2</v>
      </c>
      <c r="I23" s="5"/>
    </row>
    <row r="24" spans="1:10" ht="13" customHeight="1">
      <c r="B24"/>
      <c r="C24" s="3"/>
      <c r="D24" s="8" t="s">
        <v>68</v>
      </c>
      <c r="E24" s="47">
        <f>$H$13</f>
        <v>2000</v>
      </c>
      <c r="F24" s="4"/>
      <c r="H24" s="3"/>
      <c r="I24" s="5"/>
    </row>
    <row r="25" spans="1:10" ht="13" customHeight="1">
      <c r="C25" s="8"/>
      <c r="D25" s="47"/>
    </row>
    <row r="26" spans="1:10" ht="13" customHeight="1">
      <c r="C26" s="8" t="s">
        <v>69</v>
      </c>
      <c r="D26" s="6" t="s">
        <v>70</v>
      </c>
      <c r="E26" s="3" t="s">
        <v>71</v>
      </c>
      <c r="F26" s="7" t="s">
        <v>72</v>
      </c>
    </row>
    <row r="27" spans="1:10" ht="15" customHeight="1" thickBot="1">
      <c r="C27" s="3"/>
      <c r="D27" s="3"/>
      <c r="F27" s="8" t="s">
        <v>73</v>
      </c>
    </row>
    <row r="28" spans="1:10" ht="16">
      <c r="B28"/>
      <c r="C28" s="63"/>
      <c r="D28" s="68"/>
      <c r="E28" s="69"/>
      <c r="F28" s="14" t="s">
        <v>74</v>
      </c>
      <c r="G28" s="23"/>
      <c r="H28" s="61" t="s">
        <v>75</v>
      </c>
      <c r="I28"/>
      <c r="J28"/>
    </row>
    <row r="29" spans="1:10" ht="17" thickBot="1">
      <c r="B29"/>
      <c r="C29" s="63"/>
      <c r="D29" s="64"/>
      <c r="E29" s="56" t="s">
        <v>47</v>
      </c>
      <c r="F29" s="56" t="s">
        <v>50</v>
      </c>
      <c r="G29" s="57" t="s">
        <v>76</v>
      </c>
      <c r="H29" s="59"/>
      <c r="I29"/>
      <c r="J29"/>
    </row>
    <row r="30" spans="1:10" ht="16">
      <c r="B30"/>
      <c r="C30" s="63"/>
      <c r="D30" s="65" t="s">
        <v>47</v>
      </c>
      <c r="E30" s="21">
        <f>(-F22)</f>
        <v>0.12</v>
      </c>
      <c r="F30" s="21">
        <v>0</v>
      </c>
      <c r="G30" s="70">
        <v>1</v>
      </c>
      <c r="H30" s="108">
        <f>E22-H18</f>
        <v>198</v>
      </c>
      <c r="I30" s="7" t="s">
        <v>77</v>
      </c>
      <c r="J30"/>
    </row>
    <row r="31" spans="1:10" ht="16">
      <c r="B31"/>
      <c r="C31" s="63" t="s">
        <v>48</v>
      </c>
      <c r="D31" s="66" t="s">
        <v>50</v>
      </c>
      <c r="E31" s="26">
        <v>0</v>
      </c>
      <c r="F31" s="26">
        <f>(-F22)/(1+I21)</f>
        <v>0.10909090909090907</v>
      </c>
      <c r="G31" s="98">
        <v>1</v>
      </c>
      <c r="H31" s="95">
        <f>(E23-H18)/(1+H17)</f>
        <v>179.99999999999997</v>
      </c>
      <c r="I31" s="7" t="s">
        <v>78</v>
      </c>
    </row>
    <row r="32" spans="1:10" ht="17" thickBot="1">
      <c r="B32"/>
      <c r="C32" s="63"/>
      <c r="D32" s="67" t="s">
        <v>76</v>
      </c>
      <c r="E32" s="30">
        <v>1</v>
      </c>
      <c r="F32" s="30">
        <v>1</v>
      </c>
      <c r="G32" s="31">
        <v>0</v>
      </c>
      <c r="H32" s="87">
        <f>E24</f>
        <v>2000</v>
      </c>
    </row>
    <row r="33" spans="2:13" ht="13" customHeight="1" thickBot="1"/>
    <row r="34" spans="2:13" ht="16">
      <c r="B34" s="51"/>
      <c r="C34" s="82"/>
      <c r="D34" s="72" t="s">
        <v>48</v>
      </c>
      <c r="E34" s="73" t="s">
        <v>79</v>
      </c>
      <c r="F34" s="72" t="s">
        <v>48</v>
      </c>
      <c r="G34" s="110" t="s">
        <v>75</v>
      </c>
      <c r="H34" s="78" t="s">
        <v>80</v>
      </c>
      <c r="J34" s="61" t="s">
        <v>85</v>
      </c>
    </row>
    <row r="35" spans="2:13" ht="17" thickBot="1">
      <c r="B35" s="54"/>
      <c r="C35" s="83"/>
      <c r="D35" s="75" t="s">
        <v>47</v>
      </c>
      <c r="E35" s="75" t="s">
        <v>50</v>
      </c>
      <c r="F35" s="76" t="s">
        <v>76</v>
      </c>
      <c r="G35" s="111"/>
      <c r="H35" s="79"/>
      <c r="J35" s="71"/>
    </row>
    <row r="36" spans="2:13" ht="17" thickBot="1">
      <c r="B36" s="51"/>
      <c r="C36" s="20" t="s">
        <v>47</v>
      </c>
      <c r="D36" s="21">
        <f t="array" ref="D36:F38">MINVERSE(E30:G32)</f>
        <v>4.3650793650793656</v>
      </c>
      <c r="E36" s="21">
        <v>-4.3650793650793656</v>
      </c>
      <c r="F36" s="21">
        <v>0.47619047619047616</v>
      </c>
      <c r="G36" s="108">
        <f>H30</f>
        <v>198</v>
      </c>
      <c r="H36" s="143">
        <f t="array" ref="H36:H38">MMULT(D36:F38,G36:G38)</f>
        <v>1030.952380952381</v>
      </c>
      <c r="I36" s="7" t="s">
        <v>77</v>
      </c>
      <c r="J36" s="165">
        <f>E22+F22*H36+H22</f>
        <v>74.285714285714292</v>
      </c>
    </row>
    <row r="37" spans="2:13" ht="17" thickBot="1">
      <c r="B37" s="28" t="s">
        <v>48</v>
      </c>
      <c r="C37" s="29" t="s">
        <v>50</v>
      </c>
      <c r="D37" s="30">
        <v>-4.3650793650793656</v>
      </c>
      <c r="E37" s="30">
        <v>4.3650793650793656</v>
      </c>
      <c r="F37" s="30">
        <v>0.52380952380952384</v>
      </c>
      <c r="G37" s="112">
        <f>H31</f>
        <v>179.99999999999997</v>
      </c>
      <c r="H37" s="144">
        <v>969.04761904761904</v>
      </c>
      <c r="I37" s="7" t="s">
        <v>78</v>
      </c>
      <c r="J37" s="165">
        <f>E23+F23*H37+H23</f>
        <v>81.714285714285722</v>
      </c>
      <c r="K37" s="128">
        <f>(J37/J36)-1</f>
        <v>0.10000000000000009</v>
      </c>
      <c r="L37" s="129" t="s">
        <v>103</v>
      </c>
      <c r="M37" s="130"/>
    </row>
    <row r="38" spans="2:13" ht="17" thickBot="1">
      <c r="B38" s="85"/>
      <c r="C38" s="84" t="s">
        <v>76</v>
      </c>
      <c r="D38" s="80">
        <v>0.47619047619047616</v>
      </c>
      <c r="E38" s="80">
        <v>0.52380952380952384</v>
      </c>
      <c r="F38" s="80">
        <v>-5.7142857142857134E-2</v>
      </c>
      <c r="G38" s="113">
        <f>(E24)</f>
        <v>2000</v>
      </c>
      <c r="H38" s="164">
        <v>74.285714285714292</v>
      </c>
      <c r="I38" s="7" t="s">
        <v>81</v>
      </c>
    </row>
    <row r="39" spans="2:13" ht="13" customHeight="1">
      <c r="D39" s="3"/>
      <c r="E39" s="3"/>
      <c r="G39" s="6" t="s">
        <v>68</v>
      </c>
      <c r="H39" s="124">
        <f>SUM(H36:H37)</f>
        <v>2000</v>
      </c>
    </row>
    <row r="40" spans="2:13" ht="13" customHeight="1">
      <c r="G40" s="9"/>
    </row>
    <row r="41" spans="2:13" ht="13" customHeight="1">
      <c r="G41" s="9"/>
    </row>
    <row r="42" spans="2:13" ht="13" customHeight="1">
      <c r="G42" s="9"/>
    </row>
    <row r="43" spans="2:13" ht="13" customHeight="1">
      <c r="G43" s="9"/>
    </row>
    <row r="44" spans="2:13" ht="13" customHeight="1">
      <c r="G44" s="9"/>
    </row>
    <row r="45" spans="2:13" ht="13" customHeight="1">
      <c r="G45" s="9"/>
    </row>
    <row r="46" spans="2:13" ht="13" customHeight="1">
      <c r="G46" s="9"/>
    </row>
    <row r="47" spans="2:13" ht="13" customHeight="1">
      <c r="G47" s="9"/>
    </row>
    <row r="48" spans="2:13" ht="13" customHeight="1">
      <c r="G48" s="9"/>
    </row>
    <row r="49" spans="7:7" ht="13" customHeight="1">
      <c r="G49" s="9"/>
    </row>
    <row r="50" spans="7:7" ht="13" customHeight="1">
      <c r="G50" s="9"/>
    </row>
    <row r="51" spans="7:7" ht="13" customHeight="1">
      <c r="G51" s="9"/>
    </row>
    <row r="52" spans="7:7" ht="13" customHeight="1">
      <c r="G52" s="9"/>
    </row>
    <row r="53" spans="7:7" ht="13" customHeight="1">
      <c r="G53" s="9"/>
    </row>
    <row r="54" spans="7:7" ht="13" customHeight="1">
      <c r="G54" s="9"/>
    </row>
    <row r="55" spans="7:7" ht="13" customHeight="1">
      <c r="G55" s="9"/>
    </row>
    <row r="56" spans="7:7" ht="13" customHeight="1">
      <c r="G56" s="9"/>
    </row>
    <row r="57" spans="7:7" ht="13" customHeight="1">
      <c r="G57" s="9"/>
    </row>
    <row r="58" spans="7:7" ht="17">
      <c r="G58" s="9"/>
    </row>
    <row r="59" spans="7:7" ht="17">
      <c r="G59" s="9"/>
    </row>
    <row r="60" spans="7:7" ht="17">
      <c r="G60" s="9"/>
    </row>
    <row r="61" spans="7:7" ht="17">
      <c r="G61" s="9"/>
    </row>
    <row r="62" spans="7:7" ht="17">
      <c r="G62" s="9"/>
    </row>
    <row r="63" spans="7:7" ht="17">
      <c r="G63" s="9"/>
    </row>
    <row r="64" spans="7:7" ht="17">
      <c r="G64" s="9"/>
    </row>
    <row r="65" spans="1:11" ht="17">
      <c r="G65" s="9"/>
    </row>
    <row r="66" spans="1:11" ht="18" thickBot="1">
      <c r="G66" s="9"/>
    </row>
    <row r="67" spans="1:11" ht="17" thickBot="1">
      <c r="A67" s="6" t="s">
        <v>82</v>
      </c>
      <c r="B67" s="137" t="s">
        <v>83</v>
      </c>
      <c r="C67" s="119"/>
      <c r="D67" s="138"/>
      <c r="E67" s="106"/>
    </row>
    <row r="68" spans="1:11" ht="16">
      <c r="A68" s="6"/>
      <c r="B68" s="63"/>
      <c r="C68" s="107" t="s">
        <v>19</v>
      </c>
      <c r="D68" s="106"/>
      <c r="E68" s="106"/>
    </row>
    <row r="69" spans="1:11" ht="16">
      <c r="A69" s="6"/>
      <c r="B69" s="63" t="s">
        <v>20</v>
      </c>
      <c r="C69" s="55"/>
      <c r="D69" s="106"/>
      <c r="E69" s="106"/>
    </row>
    <row r="70" spans="1:11" ht="17" thickBot="1">
      <c r="B70"/>
      <c r="C70"/>
      <c r="D70" s="10"/>
      <c r="E70" s="6" t="s">
        <v>43</v>
      </c>
      <c r="F70" s="132">
        <f>$H$18</f>
        <v>2</v>
      </c>
      <c r="H70" s="2" t="s">
        <v>105</v>
      </c>
      <c r="J70" s="6" t="s">
        <v>21</v>
      </c>
    </row>
    <row r="71" spans="1:11" ht="17" thickBot="1">
      <c r="B71"/>
      <c r="C71" s="6" t="s">
        <v>45</v>
      </c>
      <c r="D71" s="160" t="s">
        <v>46</v>
      </c>
      <c r="E71" s="161">
        <f>$H$14</f>
        <v>200</v>
      </c>
      <c r="F71" s="162">
        <f>$H$15</f>
        <v>-0.12</v>
      </c>
      <c r="G71" s="163" t="s">
        <v>47</v>
      </c>
      <c r="H71" s="166">
        <f>-$F$70</f>
        <v>-2</v>
      </c>
      <c r="I71"/>
      <c r="J71" s="12">
        <f>$H$17</f>
        <v>0.1</v>
      </c>
    </row>
    <row r="72" spans="1:11" ht="17" thickBot="1">
      <c r="B72"/>
      <c r="C72" s="3"/>
      <c r="D72" s="160" t="s">
        <v>49</v>
      </c>
      <c r="E72" s="161">
        <f>$E$71*(1+$H$16)</f>
        <v>200</v>
      </c>
      <c r="F72" s="162">
        <f>$H$15</f>
        <v>-0.12</v>
      </c>
      <c r="G72" s="163" t="s">
        <v>50</v>
      </c>
      <c r="H72" s="166">
        <f>-$F$70</f>
        <v>-2</v>
      </c>
      <c r="I72" s="5"/>
    </row>
    <row r="73" spans="1:11" ht="17" thickBot="1">
      <c r="B73"/>
      <c r="C73" s="3"/>
      <c r="D73" s="160" t="s">
        <v>22</v>
      </c>
      <c r="E73" s="161">
        <f>$E$72*(1+$H$16)</f>
        <v>200</v>
      </c>
      <c r="F73" s="162">
        <f>$H$15</f>
        <v>-0.12</v>
      </c>
      <c r="G73" s="163" t="s">
        <v>23</v>
      </c>
      <c r="H73" s="166">
        <f>-$F$70</f>
        <v>-2</v>
      </c>
      <c r="I73" s="5"/>
    </row>
    <row r="74" spans="1:11" ht="13" customHeight="1">
      <c r="B74"/>
      <c r="C74" s="3"/>
      <c r="D74" s="6" t="s">
        <v>24</v>
      </c>
      <c r="E74" s="47">
        <f>$H$13</f>
        <v>2000</v>
      </c>
      <c r="F74" s="4" t="s">
        <v>48</v>
      </c>
      <c r="H74" s="3"/>
      <c r="I74" s="5"/>
    </row>
    <row r="75" spans="1:11" ht="16">
      <c r="C75" s="6"/>
      <c r="D75" s="47"/>
    </row>
    <row r="76" spans="1:11" ht="16">
      <c r="C76" s="8" t="s">
        <v>69</v>
      </c>
      <c r="D76" s="8" t="s">
        <v>70</v>
      </c>
      <c r="E76" s="10" t="s">
        <v>100</v>
      </c>
      <c r="F76" s="1" t="s">
        <v>72</v>
      </c>
      <c r="G76" s="10"/>
    </row>
    <row r="77" spans="1:11" ht="17" thickBot="1">
      <c r="C77" s="2"/>
      <c r="F77" s="8" t="s">
        <v>73</v>
      </c>
    </row>
    <row r="78" spans="1:11" ht="17">
      <c r="B78" s="19"/>
      <c r="C78" s="69"/>
      <c r="D78" s="21"/>
      <c r="E78" s="109" t="s">
        <v>74</v>
      </c>
      <c r="F78" s="22"/>
      <c r="G78" s="88"/>
      <c r="H78" s="61" t="s">
        <v>75</v>
      </c>
      <c r="I78" s="9"/>
      <c r="J78"/>
      <c r="K78"/>
    </row>
    <row r="79" spans="1:11" ht="18" thickBot="1">
      <c r="B79" s="28"/>
      <c r="C79" s="89"/>
      <c r="D79" s="90" t="s">
        <v>47</v>
      </c>
      <c r="E79" s="90" t="s">
        <v>50</v>
      </c>
      <c r="F79" s="91" t="s">
        <v>23</v>
      </c>
      <c r="G79" s="92" t="s">
        <v>76</v>
      </c>
      <c r="H79" s="93"/>
      <c r="I79" s="9"/>
      <c r="J79"/>
      <c r="K79"/>
    </row>
    <row r="80" spans="1:11" ht="13" customHeight="1">
      <c r="B80" s="24"/>
      <c r="C80" s="20" t="s">
        <v>47</v>
      </c>
      <c r="D80" s="21">
        <f>(-F71)</f>
        <v>0.12</v>
      </c>
      <c r="E80" s="21">
        <v>0</v>
      </c>
      <c r="F80" s="21">
        <v>0</v>
      </c>
      <c r="G80" s="70">
        <v>1</v>
      </c>
      <c r="H80" s="167">
        <f>(E71+H71)/(1+J71)^0</f>
        <v>198</v>
      </c>
      <c r="I80" s="7" t="s">
        <v>77</v>
      </c>
      <c r="J80"/>
      <c r="K80"/>
    </row>
    <row r="81" spans="2:14" ht="16">
      <c r="B81" s="24"/>
      <c r="C81" s="25" t="s">
        <v>50</v>
      </c>
      <c r="D81" s="26">
        <v>0</v>
      </c>
      <c r="E81" s="26">
        <f>(-F72)/(1+J71)</f>
        <v>0.10909090909090907</v>
      </c>
      <c r="F81" s="26">
        <v>0</v>
      </c>
      <c r="G81" s="98">
        <v>1</v>
      </c>
      <c r="H81" s="168">
        <f>(E72+H72)/(1+J71)^1</f>
        <v>179.99999999999997</v>
      </c>
      <c r="I81" s="7" t="s">
        <v>78</v>
      </c>
    </row>
    <row r="82" spans="2:14" ht="16">
      <c r="B82" s="24"/>
      <c r="C82" s="25" t="s">
        <v>23</v>
      </c>
      <c r="D82" s="26">
        <v>0</v>
      </c>
      <c r="E82" s="26">
        <v>0</v>
      </c>
      <c r="F82" s="26">
        <f>(-F73)/(1+J71)^2</f>
        <v>9.9173553719008239E-2</v>
      </c>
      <c r="G82" s="98">
        <v>1</v>
      </c>
      <c r="H82" s="168">
        <f>(E73+H73)/(1+J71)^2</f>
        <v>163.6363636363636</v>
      </c>
      <c r="I82" s="7" t="s">
        <v>25</v>
      </c>
    </row>
    <row r="83" spans="2:14" ht="17" thickBot="1">
      <c r="B83" s="28"/>
      <c r="C83" s="29" t="s">
        <v>76</v>
      </c>
      <c r="D83" s="30">
        <v>1</v>
      </c>
      <c r="E83" s="30">
        <v>1</v>
      </c>
      <c r="F83" s="30">
        <v>1</v>
      </c>
      <c r="G83" s="31">
        <v>0</v>
      </c>
      <c r="H83" s="94">
        <f>E74</f>
        <v>2000</v>
      </c>
      <c r="I83" s="7" t="s">
        <v>81</v>
      </c>
    </row>
    <row r="84" spans="2:14" ht="17" thickBot="1"/>
    <row r="85" spans="2:14" ht="16">
      <c r="B85" s="51"/>
      <c r="C85" s="82"/>
      <c r="D85" s="96"/>
      <c r="E85" s="73" t="s">
        <v>79</v>
      </c>
      <c r="F85" s="72"/>
      <c r="G85" s="72"/>
      <c r="H85" s="61" t="s">
        <v>75</v>
      </c>
      <c r="I85" s="78" t="s">
        <v>80</v>
      </c>
      <c r="J85"/>
      <c r="K85" s="61" t="s">
        <v>85</v>
      </c>
    </row>
    <row r="86" spans="2:14" ht="17" thickBot="1">
      <c r="B86" s="85"/>
      <c r="C86" s="83"/>
      <c r="D86" s="75" t="s">
        <v>47</v>
      </c>
      <c r="E86" s="75" t="s">
        <v>50</v>
      </c>
      <c r="F86" s="76" t="s">
        <v>23</v>
      </c>
      <c r="G86" s="76" t="s">
        <v>76</v>
      </c>
      <c r="H86" s="114"/>
      <c r="I86" s="97"/>
      <c r="J86"/>
      <c r="K86" s="59"/>
    </row>
    <row r="87" spans="2:14" ht="17" thickBot="1">
      <c r="B87" s="19"/>
      <c r="C87" s="20" t="s">
        <v>47</v>
      </c>
      <c r="D87" s="21">
        <f t="array" ref="D87:G90">MINVERSE(D80:G83)</f>
        <v>5.8157099697885197</v>
      </c>
      <c r="E87" s="21">
        <v>-2.7693856998992956</v>
      </c>
      <c r="F87" s="21">
        <v>-3.0463242698892246</v>
      </c>
      <c r="G87" s="21">
        <v>0.30211480362537757</v>
      </c>
      <c r="H87" s="108">
        <f>H80</f>
        <v>198</v>
      </c>
      <c r="I87" s="140">
        <f t="array" ref="I87:I90">MMULT(D87:G90,H87:H90)</f>
        <v>758.76132930513586</v>
      </c>
      <c r="J87" s="7" t="s">
        <v>77</v>
      </c>
      <c r="K87" s="139">
        <f>E71+F71*I87+H71</f>
        <v>106.9486404833837</v>
      </c>
    </row>
    <row r="88" spans="2:14" ht="17" thickBot="1">
      <c r="B88" s="24"/>
      <c r="C88" s="25" t="s">
        <v>50</v>
      </c>
      <c r="D88" s="26">
        <v>-2.7693856998992952</v>
      </c>
      <c r="E88" s="26">
        <v>6.1203423967774437</v>
      </c>
      <c r="F88" s="26">
        <v>-3.3509566968781477</v>
      </c>
      <c r="G88" s="26">
        <v>0.33232628398791531</v>
      </c>
      <c r="H88" s="108">
        <f>H81</f>
        <v>179.99999999999997</v>
      </c>
      <c r="I88" s="141">
        <v>669.63746223564954</v>
      </c>
      <c r="J88" s="7" t="s">
        <v>78</v>
      </c>
      <c r="K88" s="139">
        <f>E72+F72*I88+H72</f>
        <v>117.64350453172206</v>
      </c>
      <c r="L88" s="128">
        <f>(K88/K87)-1</f>
        <v>9.9999999999999867E-2</v>
      </c>
      <c r="M88" s="129" t="s">
        <v>104</v>
      </c>
      <c r="N88" s="130"/>
    </row>
    <row r="89" spans="2:14" ht="17" thickBot="1">
      <c r="B89" s="28"/>
      <c r="C89" s="29" t="s">
        <v>23</v>
      </c>
      <c r="D89" s="30">
        <v>-3.046324269889225</v>
      </c>
      <c r="E89" s="30">
        <v>-3.3509566968781481</v>
      </c>
      <c r="F89" s="30">
        <v>6.3972809667673722</v>
      </c>
      <c r="G89" s="30">
        <v>0.36555891238670712</v>
      </c>
      <c r="H89" s="108">
        <f>H82</f>
        <v>163.6363636363636</v>
      </c>
      <c r="I89" s="142">
        <v>571.60120845921438</v>
      </c>
      <c r="J89" s="7" t="s">
        <v>25</v>
      </c>
      <c r="K89" s="139">
        <f>E73+F73*I89+H73</f>
        <v>129.40785498489427</v>
      </c>
      <c r="L89" s="128">
        <f>(K89/K88)-1</f>
        <v>0.10000000000000009</v>
      </c>
      <c r="M89" s="129" t="s">
        <v>104</v>
      </c>
      <c r="N89" s="130"/>
    </row>
    <row r="90" spans="2:14" ht="17" thickBot="1">
      <c r="B90" s="62"/>
      <c r="C90" s="84" t="s">
        <v>76</v>
      </c>
      <c r="D90" s="80">
        <v>0.30211480362537757</v>
      </c>
      <c r="E90" s="80">
        <v>0.33232628398791542</v>
      </c>
      <c r="F90" s="80">
        <v>0.36555891238670696</v>
      </c>
      <c r="G90" s="80">
        <v>-3.6253776435045307E-2</v>
      </c>
      <c r="H90" s="113">
        <f>E74</f>
        <v>2000</v>
      </c>
      <c r="I90" s="115">
        <v>106.94864048338368</v>
      </c>
      <c r="J90" s="7" t="s">
        <v>26</v>
      </c>
    </row>
    <row r="91" spans="2:14" ht="13" customHeight="1">
      <c r="D91" s="4" t="s">
        <v>48</v>
      </c>
      <c r="H91" s="6" t="s">
        <v>24</v>
      </c>
      <c r="I91" s="86">
        <f>SUM(I87:I89)</f>
        <v>1999.9999999999998</v>
      </c>
    </row>
    <row r="134" spans="1:13" ht="17" thickBot="1"/>
    <row r="135" spans="1:13" ht="18" thickBot="1">
      <c r="A135" s="6" t="s">
        <v>27</v>
      </c>
      <c r="B135" s="137" t="s">
        <v>28</v>
      </c>
      <c r="C135" s="119"/>
      <c r="D135" s="138"/>
      <c r="E135" s="106"/>
      <c r="I135" s="9"/>
    </row>
    <row r="136" spans="1:13" ht="17" thickBot="1">
      <c r="B136"/>
      <c r="C136"/>
      <c r="E136" s="6" t="s">
        <v>43</v>
      </c>
      <c r="F136" s="169">
        <f>$H$18</f>
        <v>2</v>
      </c>
    </row>
    <row r="137" spans="1:13" ht="17" thickBot="1">
      <c r="B137"/>
      <c r="C137" s="6" t="s">
        <v>45</v>
      </c>
      <c r="D137" s="160" t="s">
        <v>94</v>
      </c>
      <c r="E137" s="161">
        <f>$H$14</f>
        <v>200</v>
      </c>
      <c r="F137" s="162">
        <f>$H$15</f>
        <v>-0.12</v>
      </c>
      <c r="G137" s="163" t="s">
        <v>47</v>
      </c>
      <c r="H137" s="170">
        <f>-$F$136</f>
        <v>-2</v>
      </c>
      <c r="L137" s="6" t="s">
        <v>21</v>
      </c>
      <c r="M137" s="99">
        <f>$H$17</f>
        <v>0.1</v>
      </c>
    </row>
    <row r="138" spans="1:13" ht="17" thickBot="1">
      <c r="B138"/>
      <c r="C138" s="3"/>
      <c r="D138" s="160" t="s">
        <v>49</v>
      </c>
      <c r="E138" s="161">
        <f>$H$14*(1+$H$16)</f>
        <v>200</v>
      </c>
      <c r="F138" s="162">
        <f>$H$15</f>
        <v>-0.12</v>
      </c>
      <c r="G138" s="163" t="s">
        <v>50</v>
      </c>
      <c r="H138" s="170">
        <f>-$F$136</f>
        <v>-2</v>
      </c>
      <c r="L138" s="6" t="s">
        <v>101</v>
      </c>
      <c r="M138" s="99">
        <f>$H$16</f>
        <v>0</v>
      </c>
    </row>
    <row r="139" spans="1:13" ht="17" thickBot="1">
      <c r="B139"/>
      <c r="C139" s="3"/>
      <c r="D139" s="160" t="s">
        <v>22</v>
      </c>
      <c r="E139" s="161">
        <f>$E$138*(1+$H$16)</f>
        <v>200</v>
      </c>
      <c r="F139" s="162">
        <f>$H$15</f>
        <v>-0.12</v>
      </c>
      <c r="G139" s="163" t="s">
        <v>23</v>
      </c>
      <c r="H139" s="170">
        <f>-$F$136</f>
        <v>-2</v>
      </c>
    </row>
    <row r="140" spans="1:13" ht="17" thickBot="1">
      <c r="B140"/>
      <c r="C140" s="3" t="s">
        <v>48</v>
      </c>
      <c r="D140" s="160" t="s">
        <v>95</v>
      </c>
      <c r="E140" s="161">
        <f>$E$139*(1+$H$16)</f>
        <v>200</v>
      </c>
      <c r="F140" s="162">
        <f>$H$15</f>
        <v>-0.12</v>
      </c>
      <c r="G140" s="163" t="s">
        <v>96</v>
      </c>
      <c r="H140" s="170">
        <f>-$F$136</f>
        <v>-2</v>
      </c>
      <c r="L140" s="6" t="s">
        <v>97</v>
      </c>
      <c r="M140" s="125">
        <f>$H$13</f>
        <v>2000</v>
      </c>
    </row>
    <row r="141" spans="1:13" ht="16">
      <c r="B141"/>
      <c r="C141" s="3"/>
      <c r="F141" s="4"/>
    </row>
    <row r="142" spans="1:13" ht="16">
      <c r="B142"/>
      <c r="C142" s="8" t="s">
        <v>69</v>
      </c>
      <c r="D142" s="8" t="s">
        <v>70</v>
      </c>
      <c r="E142" s="10" t="s">
        <v>71</v>
      </c>
      <c r="F142" s="1" t="s">
        <v>72</v>
      </c>
      <c r="G142" s="10"/>
    </row>
    <row r="143" spans="1:13" ht="17" thickBot="1">
      <c r="B143"/>
      <c r="C143" s="3"/>
      <c r="D143" s="10"/>
      <c r="F143" s="4"/>
      <c r="G143" s="8" t="s">
        <v>73</v>
      </c>
      <c r="H143" s="3"/>
      <c r="I143" s="5"/>
    </row>
    <row r="144" spans="1:13" ht="17">
      <c r="B144"/>
      <c r="C144" s="3"/>
      <c r="D144" s="100"/>
      <c r="E144" s="96"/>
      <c r="F144" s="52"/>
      <c r="G144" s="53" t="s">
        <v>74</v>
      </c>
      <c r="H144" s="101"/>
      <c r="I144" s="102"/>
      <c r="J144" s="61" t="s">
        <v>98</v>
      </c>
      <c r="K144"/>
      <c r="L144"/>
    </row>
    <row r="145" spans="1:16" ht="18" thickBot="1">
      <c r="B145"/>
      <c r="C145" s="3"/>
      <c r="D145" s="74"/>
      <c r="E145" s="75" t="s">
        <v>47</v>
      </c>
      <c r="F145" s="75" t="s">
        <v>50</v>
      </c>
      <c r="G145" s="76" t="s">
        <v>23</v>
      </c>
      <c r="H145" s="76" t="s">
        <v>96</v>
      </c>
      <c r="I145" s="77" t="s">
        <v>76</v>
      </c>
      <c r="J145" s="103"/>
      <c r="K145"/>
      <c r="L145"/>
    </row>
    <row r="146" spans="1:16" ht="16">
      <c r="B146"/>
      <c r="C146" s="3"/>
      <c r="D146" s="65" t="s">
        <v>47</v>
      </c>
      <c r="E146" s="21">
        <f>(-F137)</f>
        <v>0.12</v>
      </c>
      <c r="F146" s="21">
        <v>0</v>
      </c>
      <c r="G146" s="21">
        <v>0</v>
      </c>
      <c r="H146" s="21">
        <v>0</v>
      </c>
      <c r="I146" s="23">
        <v>1</v>
      </c>
      <c r="J146" s="60">
        <f>E137+H137</f>
        <v>198</v>
      </c>
      <c r="K146" s="7" t="s">
        <v>77</v>
      </c>
      <c r="L146"/>
    </row>
    <row r="147" spans="1:16" ht="16">
      <c r="B147"/>
      <c r="C147" s="3"/>
      <c r="D147" s="66" t="s">
        <v>50</v>
      </c>
      <c r="E147" s="26">
        <v>0</v>
      </c>
      <c r="F147" s="26">
        <f>(-F138)/(1+M137)</f>
        <v>0.10909090909090907</v>
      </c>
      <c r="G147" s="26">
        <v>0</v>
      </c>
      <c r="H147" s="26">
        <v>0</v>
      </c>
      <c r="I147" s="27">
        <v>1</v>
      </c>
      <c r="J147" s="123">
        <f>(E138+H138)/(1+$M$137)</f>
        <v>179.99999999999997</v>
      </c>
      <c r="K147" s="7" t="s">
        <v>78</v>
      </c>
    </row>
    <row r="148" spans="1:16" ht="16">
      <c r="B148"/>
      <c r="C148" s="3"/>
      <c r="D148" s="66" t="s">
        <v>23</v>
      </c>
      <c r="E148" s="26">
        <v>0</v>
      </c>
      <c r="F148" s="26">
        <v>0</v>
      </c>
      <c r="G148" s="26">
        <f>(-F139)/(1+M137)^2</f>
        <v>9.9173553719008239E-2</v>
      </c>
      <c r="H148" s="26">
        <v>0</v>
      </c>
      <c r="I148" s="27">
        <v>1</v>
      </c>
      <c r="J148" s="123">
        <f>(E139+$H$139)/(1+M137)^2</f>
        <v>163.6363636363636</v>
      </c>
      <c r="K148" s="7" t="s">
        <v>25</v>
      </c>
    </row>
    <row r="149" spans="1:16" ht="13" customHeight="1">
      <c r="B149"/>
      <c r="C149" s="3"/>
      <c r="D149" s="66" t="s">
        <v>96</v>
      </c>
      <c r="E149" s="26">
        <v>0</v>
      </c>
      <c r="F149" s="26">
        <v>0</v>
      </c>
      <c r="G149" s="26">
        <v>0</v>
      </c>
      <c r="H149" s="26">
        <f>(-F140)/(1+M137)^3</f>
        <v>9.01577761081893E-2</v>
      </c>
      <c r="I149" s="27">
        <v>1</v>
      </c>
      <c r="J149" s="123">
        <f>(E140+$H$140)/(1+M137)^3</f>
        <v>148.76033057851234</v>
      </c>
      <c r="K149" s="7" t="s">
        <v>99</v>
      </c>
    </row>
    <row r="150" spans="1:16" ht="17" thickBot="1">
      <c r="B150"/>
      <c r="C150" s="3"/>
      <c r="D150" s="67" t="s">
        <v>76</v>
      </c>
      <c r="E150" s="30">
        <v>1</v>
      </c>
      <c r="F150" s="30">
        <v>1</v>
      </c>
      <c r="G150" s="30">
        <v>1</v>
      </c>
      <c r="H150" s="30">
        <v>1</v>
      </c>
      <c r="I150" s="58">
        <v>0</v>
      </c>
      <c r="J150" s="87">
        <f>M140</f>
        <v>2000</v>
      </c>
      <c r="K150" s="7" t="s">
        <v>81</v>
      </c>
    </row>
    <row r="151" spans="1:16" ht="17" thickBot="1">
      <c r="B151" s="3" t="s">
        <v>48</v>
      </c>
    </row>
    <row r="152" spans="1:16" ht="16">
      <c r="B152" s="51" t="s">
        <v>48</v>
      </c>
      <c r="C152" s="82"/>
      <c r="D152" s="96"/>
      <c r="E152" s="73" t="s">
        <v>79</v>
      </c>
      <c r="F152" s="72"/>
      <c r="G152" s="72"/>
      <c r="H152" s="104"/>
      <c r="I152" s="61" t="s">
        <v>98</v>
      </c>
      <c r="J152" s="78" t="s">
        <v>80</v>
      </c>
      <c r="K152"/>
      <c r="L152" s="61" t="s">
        <v>86</v>
      </c>
    </row>
    <row r="153" spans="1:16" ht="17" thickBot="1">
      <c r="B153" s="85"/>
      <c r="C153" s="83"/>
      <c r="D153" s="75" t="s">
        <v>47</v>
      </c>
      <c r="E153" s="75" t="s">
        <v>50</v>
      </c>
      <c r="F153" s="76" t="s">
        <v>23</v>
      </c>
      <c r="G153" s="76" t="s">
        <v>96</v>
      </c>
      <c r="H153" s="105" t="s">
        <v>76</v>
      </c>
      <c r="I153" s="97"/>
      <c r="J153" s="97"/>
      <c r="K153"/>
      <c r="L153" s="59"/>
    </row>
    <row r="154" spans="1:16" ht="17" thickBot="1">
      <c r="B154" s="19"/>
      <c r="C154" s="20" t="s">
        <v>47</v>
      </c>
      <c r="D154" s="21">
        <f t="array" ref="D154:H158">MINVERSE(E146:I150)</f>
        <v>6.5377433024491856</v>
      </c>
      <c r="E154" s="21">
        <v>-1.9751490339725626</v>
      </c>
      <c r="F154" s="21">
        <v>-2.17266393736982</v>
      </c>
      <c r="G154" s="21">
        <v>-2.3899303311068021</v>
      </c>
      <c r="H154" s="21">
        <v>0.21547080370609778</v>
      </c>
      <c r="I154" s="60">
        <f>J146</f>
        <v>198</v>
      </c>
      <c r="J154" s="145">
        <f t="array" ref="J154:J158">MMULT(D154:H158,I154:I158)</f>
        <v>658.83430295195012</v>
      </c>
      <c r="K154" s="7" t="s">
        <v>77</v>
      </c>
      <c r="L154" s="139">
        <f>E137+F137*J154+H137</f>
        <v>118.93988364576599</v>
      </c>
    </row>
    <row r="155" spans="1:16" ht="17" thickBot="1">
      <c r="B155" s="24"/>
      <c r="C155" s="25" t="s">
        <v>50</v>
      </c>
      <c r="D155" s="26">
        <v>-1.9751490339725633</v>
      </c>
      <c r="E155" s="26">
        <v>6.9940027292968479</v>
      </c>
      <c r="F155" s="26">
        <v>-2.3899303311068021</v>
      </c>
      <c r="G155" s="26">
        <v>-2.6289233642174832</v>
      </c>
      <c r="H155" s="26">
        <v>0.23701788407670762</v>
      </c>
      <c r="I155" s="60">
        <f>J147</f>
        <v>179.99999999999997</v>
      </c>
      <c r="J155" s="145">
        <v>559.71773324714502</v>
      </c>
      <c r="K155" s="7" t="s">
        <v>78</v>
      </c>
      <c r="L155" s="139">
        <f>E138+F138*J155+H138</f>
        <v>130.83387201034259</v>
      </c>
      <c r="M155" s="128">
        <f>(L155/L154)-1</f>
        <v>0.10000000000000009</v>
      </c>
      <c r="N155" s="129" t="s">
        <v>104</v>
      </c>
      <c r="O155" s="129"/>
      <c r="P155" s="130"/>
    </row>
    <row r="156" spans="1:16" ht="17" thickBot="1">
      <c r="A156" s="2" t="s">
        <v>48</v>
      </c>
      <c r="B156" s="24"/>
      <c r="C156" s="25" t="s">
        <v>23</v>
      </c>
      <c r="D156" s="26">
        <v>-2.1726639373698196</v>
      </c>
      <c r="E156" s="26">
        <v>-2.3899303311068021</v>
      </c>
      <c r="F156" s="26">
        <v>7.4544099691158525</v>
      </c>
      <c r="G156" s="26">
        <v>-2.8918157006392313</v>
      </c>
      <c r="H156" s="26">
        <v>0.26071967248437838</v>
      </c>
      <c r="I156" s="60">
        <f>J148</f>
        <v>163.6363636363636</v>
      </c>
      <c r="J156" s="145">
        <v>450.6895065718594</v>
      </c>
      <c r="K156" s="7" t="s">
        <v>25</v>
      </c>
      <c r="L156" s="139">
        <f>E139+F139*J156+H139</f>
        <v>143.91725921137686</v>
      </c>
      <c r="M156" s="128">
        <f>(L156/L155)-1</f>
        <v>0.10000000000000009</v>
      </c>
      <c r="N156" s="129" t="s">
        <v>104</v>
      </c>
      <c r="O156" s="129"/>
      <c r="P156" s="130"/>
    </row>
    <row r="157" spans="1:16" ht="17" thickBot="1">
      <c r="B157" s="28"/>
      <c r="C157" s="29" t="s">
        <v>96</v>
      </c>
      <c r="D157" s="30">
        <v>-2.389930331106803</v>
      </c>
      <c r="E157" s="30">
        <v>-2.6289233642174832</v>
      </c>
      <c r="F157" s="30">
        <v>-2.8918157006392304</v>
      </c>
      <c r="G157" s="30">
        <v>7.9106693959635166</v>
      </c>
      <c r="H157" s="30">
        <v>0.28679163973281624</v>
      </c>
      <c r="I157" s="60">
        <f>J149</f>
        <v>148.76033057851234</v>
      </c>
      <c r="J157" s="145">
        <v>330.75845722904512</v>
      </c>
      <c r="K157" s="7" t="s">
        <v>99</v>
      </c>
      <c r="L157" s="139">
        <f>E140+F140*J157+H140</f>
        <v>158.30898513251458</v>
      </c>
      <c r="M157" s="128">
        <f>(L157/L156)-1</f>
        <v>0.10000000000000031</v>
      </c>
      <c r="N157" s="129" t="s">
        <v>104</v>
      </c>
      <c r="O157" s="129"/>
      <c r="P157" s="130"/>
    </row>
    <row r="158" spans="1:16" ht="17" thickBot="1">
      <c r="B158" s="62"/>
      <c r="C158" s="84" t="s">
        <v>76</v>
      </c>
      <c r="D158" s="80">
        <v>0.21547080370609775</v>
      </c>
      <c r="E158" s="80">
        <v>0.23701788407670757</v>
      </c>
      <c r="F158" s="80">
        <v>0.26071967248437838</v>
      </c>
      <c r="G158" s="80">
        <v>0.28679163973281624</v>
      </c>
      <c r="H158" s="80">
        <v>-2.5856496444731734E-2</v>
      </c>
      <c r="I158" s="116">
        <f>M140</f>
        <v>2000</v>
      </c>
      <c r="J158" s="115">
        <v>118.93988364576597</v>
      </c>
      <c r="K158" s="7" t="s">
        <v>26</v>
      </c>
      <c r="L158" s="4"/>
    </row>
    <row r="159" spans="1:16" ht="13" customHeight="1">
      <c r="I159" s="6" t="s">
        <v>97</v>
      </c>
      <c r="J159" s="86">
        <f>SUM(J154:J157)</f>
        <v>2000</v>
      </c>
    </row>
    <row r="160" spans="1:16" ht="13" customHeight="1">
      <c r="C160"/>
      <c r="D160" s="3"/>
      <c r="E160" s="3"/>
    </row>
    <row r="183" spans="2:3" ht="16" customHeight="1">
      <c r="B183" s="7" t="s">
        <v>15</v>
      </c>
    </row>
    <row r="184" spans="2:3" ht="13" customHeight="1">
      <c r="B184" s="134">
        <v>1</v>
      </c>
      <c r="C184" s="133" t="s">
        <v>51</v>
      </c>
    </row>
    <row r="185" spans="2:3" ht="13" customHeight="1">
      <c r="B185" s="134"/>
      <c r="C185" s="133" t="s">
        <v>58</v>
      </c>
    </row>
    <row r="186" spans="2:3" ht="13" customHeight="1">
      <c r="B186" s="134"/>
      <c r="C186" s="133" t="s">
        <v>59</v>
      </c>
    </row>
    <row r="187" spans="2:3" ht="13" customHeight="1">
      <c r="B187" s="134"/>
      <c r="C187" s="133" t="s">
        <v>60</v>
      </c>
    </row>
    <row r="188" spans="2:3" ht="13" customHeight="1">
      <c r="B188" s="134"/>
      <c r="C188" s="133" t="s">
        <v>61</v>
      </c>
    </row>
    <row r="189" spans="2:3" ht="13" customHeight="1">
      <c r="B189" s="134"/>
      <c r="C189" s="133" t="s">
        <v>29</v>
      </c>
    </row>
    <row r="190" spans="2:3" ht="13" customHeight="1">
      <c r="B190" s="134">
        <v>2</v>
      </c>
      <c r="C190" s="133" t="s">
        <v>30</v>
      </c>
    </row>
    <row r="191" spans="2:3" ht="13" customHeight="1">
      <c r="B191" s="134"/>
      <c r="C191" s="133" t="s">
        <v>106</v>
      </c>
    </row>
    <row r="192" spans="2:3" ht="16" customHeight="1">
      <c r="B192" s="134"/>
      <c r="C192" s="133" t="s">
        <v>11</v>
      </c>
    </row>
    <row r="193" spans="2:11" ht="16" customHeight="1">
      <c r="B193" s="134"/>
      <c r="C193" s="135" t="s">
        <v>12</v>
      </c>
    </row>
    <row r="194" spans="2:11" ht="13" customHeight="1">
      <c r="B194" s="134">
        <v>3</v>
      </c>
      <c r="C194" s="133" t="s">
        <v>14</v>
      </c>
    </row>
    <row r="195" spans="2:11" ht="13" customHeight="1">
      <c r="C195" s="133" t="s">
        <v>65</v>
      </c>
    </row>
    <row r="196" spans="2:11" ht="13" customHeight="1">
      <c r="C196" s="133" t="s">
        <v>66</v>
      </c>
    </row>
    <row r="201" spans="2:11" ht="13" customHeight="1" thickBot="1"/>
    <row r="202" spans="2:11" ht="13" customHeight="1" thickBot="1">
      <c r="D202" s="117"/>
      <c r="E202" s="131"/>
      <c r="F202" s="120"/>
      <c r="G202" s="119" t="s">
        <v>64</v>
      </c>
      <c r="H202" s="121"/>
      <c r="I202" s="120"/>
      <c r="J202" s="120"/>
      <c r="K202" s="122"/>
    </row>
    <row r="203" spans="2:11" ht="13" customHeight="1">
      <c r="B203" s="133"/>
      <c r="C203" s="133" t="s">
        <v>16</v>
      </c>
      <c r="D203" s="148"/>
      <c r="E203" s="148"/>
      <c r="F203" s="149"/>
      <c r="G203" s="150"/>
      <c r="H203" s="151"/>
      <c r="I203" s="149"/>
      <c r="J203" s="149"/>
      <c r="K203" s="149"/>
    </row>
    <row r="204" spans="2:11" ht="13" customHeight="1">
      <c r="B204" s="133"/>
      <c r="C204" s="133" t="s">
        <v>17</v>
      </c>
      <c r="D204" s="148"/>
      <c r="E204" s="148"/>
      <c r="F204" s="149"/>
      <c r="G204" s="150"/>
      <c r="H204" s="151"/>
      <c r="I204" s="149"/>
      <c r="J204" s="149"/>
      <c r="K204" s="149"/>
    </row>
    <row r="205" spans="2:11" ht="13" customHeight="1">
      <c r="B205" s="133"/>
      <c r="C205" s="133" t="s">
        <v>52</v>
      </c>
      <c r="D205" s="148"/>
      <c r="E205" s="148"/>
      <c r="F205" s="149"/>
      <c r="G205" s="150"/>
      <c r="H205" s="151"/>
      <c r="I205" s="149"/>
      <c r="J205" s="149"/>
      <c r="K205" s="149"/>
    </row>
    <row r="206" spans="2:11" ht="13" customHeight="1">
      <c r="B206" s="133"/>
      <c r="C206" s="133" t="s">
        <v>53</v>
      </c>
      <c r="D206" s="148"/>
      <c r="E206" s="148"/>
      <c r="F206" s="149"/>
      <c r="G206" s="150"/>
      <c r="H206" s="151"/>
      <c r="I206" s="149"/>
      <c r="J206" s="149"/>
      <c r="K206" s="149"/>
    </row>
    <row r="207" spans="2:11" ht="13" customHeight="1" thickBot="1">
      <c r="B207" s="133"/>
      <c r="C207" s="133"/>
    </row>
    <row r="208" spans="2:11" ht="15" customHeight="1" thickBot="1">
      <c r="B208"/>
      <c r="C208"/>
      <c r="D208" s="8"/>
      <c r="E208" s="6" t="s">
        <v>43</v>
      </c>
      <c r="F208" s="157">
        <f>F21</f>
        <v>2</v>
      </c>
      <c r="H208" s="6" t="s">
        <v>44</v>
      </c>
      <c r="I208" s="50">
        <f>$H$17</f>
        <v>0.1</v>
      </c>
    </row>
    <row r="209" spans="2:15" ht="16" customHeight="1">
      <c r="B209"/>
      <c r="C209" s="6" t="s">
        <v>45</v>
      </c>
      <c r="D209" s="13" t="s">
        <v>6</v>
      </c>
      <c r="E209" s="45">
        <f>E22</f>
        <v>200</v>
      </c>
      <c r="F209" s="14">
        <f>F22</f>
        <v>-0.12</v>
      </c>
      <c r="G209" s="15" t="s">
        <v>47</v>
      </c>
      <c r="H209" s="3"/>
      <c r="I209"/>
    </row>
    <row r="210" spans="2:15" ht="19" customHeight="1" thickBot="1">
      <c r="B210"/>
      <c r="C210" s="3"/>
      <c r="D210" s="16" t="s">
        <v>7</v>
      </c>
      <c r="E210" s="46">
        <f>E23</f>
        <v>200</v>
      </c>
      <c r="F210" s="17">
        <f>F23</f>
        <v>-0.12</v>
      </c>
      <c r="G210" s="18" t="s">
        <v>50</v>
      </c>
      <c r="H210" s="3"/>
      <c r="I210" s="5"/>
    </row>
    <row r="211" spans="2:15" ht="19" customHeight="1" thickBot="1">
      <c r="B211"/>
      <c r="C211" s="3"/>
      <c r="D211" s="8" t="s">
        <v>8</v>
      </c>
      <c r="E211" s="47">
        <f>$H$13</f>
        <v>2000</v>
      </c>
      <c r="F211" s="4"/>
      <c r="H211" s="3"/>
      <c r="I211" s="5"/>
    </row>
    <row r="212" spans="2:15" ht="18" customHeight="1" thickBot="1">
      <c r="B212" s="7"/>
      <c r="C212" s="6" t="s">
        <v>13</v>
      </c>
      <c r="D212" s="152" t="s">
        <v>1</v>
      </c>
      <c r="E212" s="152" t="s">
        <v>2</v>
      </c>
      <c r="F212" s="153" t="s">
        <v>0</v>
      </c>
      <c r="G212" s="153" t="s">
        <v>57</v>
      </c>
      <c r="H212" s="154" t="s">
        <v>56</v>
      </c>
      <c r="I212" s="153" t="s">
        <v>55</v>
      </c>
      <c r="J212" s="153" t="s">
        <v>3</v>
      </c>
      <c r="K212" s="62"/>
      <c r="L212" s="129"/>
      <c r="M212" s="156" t="s">
        <v>54</v>
      </c>
      <c r="N212" s="129"/>
      <c r="O212" s="130"/>
    </row>
    <row r="213" spans="2:15" ht="20" customHeight="1" thickBot="1">
      <c r="C213" s="158">
        <v>0</v>
      </c>
      <c r="D213" s="115">
        <f>$E$211-E213</f>
        <v>2000</v>
      </c>
      <c r="E213" s="115">
        <f>C213*$E$211</f>
        <v>0</v>
      </c>
      <c r="F213" s="147">
        <f>$E$209+$F$209*D213</f>
        <v>-40</v>
      </c>
      <c r="G213" s="147">
        <f>$E$23+$F$23*E213</f>
        <v>200</v>
      </c>
      <c r="H213" s="147">
        <f>D213*F213</f>
        <v>-80000</v>
      </c>
      <c r="I213" s="147">
        <f>E213*G213/(1+$I$208)</f>
        <v>0</v>
      </c>
      <c r="J213" s="147">
        <f>SUM(H213:I213)</f>
        <v>-80000</v>
      </c>
      <c r="L213" s="153" t="s">
        <v>5</v>
      </c>
      <c r="M213" s="153" t="s">
        <v>4</v>
      </c>
      <c r="N213" s="153" t="s">
        <v>3</v>
      </c>
    </row>
    <row r="214" spans="2:15" ht="28" thickBot="1">
      <c r="C214" s="158">
        <v>0.05</v>
      </c>
      <c r="D214" s="115">
        <f t="shared" ref="D214:D233" si="0">$E$211-E214</f>
        <v>1900</v>
      </c>
      <c r="E214" s="115">
        <f>C214*$E$211</f>
        <v>100</v>
      </c>
      <c r="F214" s="147">
        <f t="shared" ref="F214:F233" si="1">$E$209+$F$209*D214</f>
        <v>-28</v>
      </c>
      <c r="G214" s="147">
        <f t="shared" ref="G214:G233" si="2">$E$23+$F$23*E214</f>
        <v>188</v>
      </c>
      <c r="H214" s="147">
        <f t="shared" ref="H214:H233" si="3">D214*F214</f>
        <v>-53200</v>
      </c>
      <c r="I214" s="147">
        <f t="shared" ref="I214:I233" si="4">E214*G214/(1+$I$208)</f>
        <v>17090.909090909088</v>
      </c>
      <c r="J214" s="147">
        <f t="shared" ref="J214:J233" si="5">SUM(H214:I214)</f>
        <v>-36109.090909090912</v>
      </c>
      <c r="K214" s="152" t="s">
        <v>1</v>
      </c>
      <c r="L214" s="145">
        <f>H36</f>
        <v>1030.952380952381</v>
      </c>
      <c r="M214" s="155">
        <f>$E$22+$F$22*L214</f>
        <v>76.285714285714292</v>
      </c>
      <c r="N214" s="155">
        <f>L214*M214</f>
        <v>78646.938775510207</v>
      </c>
    </row>
    <row r="215" spans="2:15" ht="28" thickBot="1">
      <c r="C215" s="158">
        <v>0.1</v>
      </c>
      <c r="D215" s="115">
        <f t="shared" si="0"/>
        <v>1800</v>
      </c>
      <c r="E215" s="115">
        <f t="shared" ref="E215:E233" si="6">C215*$E$211</f>
        <v>200</v>
      </c>
      <c r="F215" s="147">
        <f t="shared" si="1"/>
        <v>-16</v>
      </c>
      <c r="G215" s="147">
        <f t="shared" si="2"/>
        <v>176</v>
      </c>
      <c r="H215" s="147">
        <f t="shared" si="3"/>
        <v>-28800</v>
      </c>
      <c r="I215" s="147">
        <f t="shared" si="4"/>
        <v>31999.999999999996</v>
      </c>
      <c r="J215" s="147">
        <f t="shared" si="5"/>
        <v>3199.9999999999964</v>
      </c>
      <c r="K215" s="152" t="s">
        <v>2</v>
      </c>
      <c r="L215" s="145">
        <f>H37</f>
        <v>969.04761904761904</v>
      </c>
      <c r="M215" s="155">
        <f>$E$23+$F$23*L215</f>
        <v>83.714285714285722</v>
      </c>
      <c r="N215" s="155">
        <f>L215*M215/(1+$I$208)</f>
        <v>73748.299319727885</v>
      </c>
    </row>
    <row r="216" spans="2:15" ht="15" customHeight="1" thickBot="1">
      <c r="C216" s="158">
        <v>0.15</v>
      </c>
      <c r="D216" s="115">
        <f t="shared" si="0"/>
        <v>1700</v>
      </c>
      <c r="E216" s="115">
        <f t="shared" si="6"/>
        <v>300</v>
      </c>
      <c r="F216" s="147">
        <f t="shared" si="1"/>
        <v>-4</v>
      </c>
      <c r="G216" s="147">
        <f t="shared" si="2"/>
        <v>164</v>
      </c>
      <c r="H216" s="147">
        <f t="shared" si="3"/>
        <v>-6800</v>
      </c>
      <c r="I216" s="147">
        <f t="shared" si="4"/>
        <v>44727.272727272721</v>
      </c>
      <c r="J216" s="147">
        <f t="shared" si="5"/>
        <v>37927.272727272721</v>
      </c>
      <c r="L216" s="47">
        <f>SUM(L214:L215)</f>
        <v>2000</v>
      </c>
      <c r="N216" s="155">
        <f>SUM(N214:N215)</f>
        <v>152395.23809523811</v>
      </c>
    </row>
    <row r="217" spans="2:15" ht="13" customHeight="1" thickBot="1">
      <c r="C217" s="158">
        <v>0.2</v>
      </c>
      <c r="D217" s="115">
        <f t="shared" si="0"/>
        <v>1600</v>
      </c>
      <c r="E217" s="115">
        <f t="shared" si="6"/>
        <v>400</v>
      </c>
      <c r="F217" s="147">
        <f t="shared" si="1"/>
        <v>8</v>
      </c>
      <c r="G217" s="147">
        <f t="shared" si="2"/>
        <v>152</v>
      </c>
      <c r="H217" s="147">
        <f t="shared" si="3"/>
        <v>12800</v>
      </c>
      <c r="I217" s="147">
        <f t="shared" si="4"/>
        <v>55272.727272727265</v>
      </c>
      <c r="J217" s="147">
        <f t="shared" si="5"/>
        <v>68072.727272727265</v>
      </c>
      <c r="K217" s="6" t="s">
        <v>63</v>
      </c>
      <c r="L217" s="50">
        <f>L215/L216</f>
        <v>0.48452380952380952</v>
      </c>
    </row>
    <row r="218" spans="2:15" ht="13" customHeight="1" thickBot="1">
      <c r="C218" s="158">
        <v>0.25</v>
      </c>
      <c r="D218" s="115">
        <f t="shared" si="0"/>
        <v>1500</v>
      </c>
      <c r="E218" s="115">
        <f t="shared" si="6"/>
        <v>500</v>
      </c>
      <c r="F218" s="147">
        <f t="shared" si="1"/>
        <v>20</v>
      </c>
      <c r="G218" s="147">
        <f t="shared" si="2"/>
        <v>140</v>
      </c>
      <c r="H218" s="147">
        <f t="shared" si="3"/>
        <v>30000</v>
      </c>
      <c r="I218" s="147">
        <f t="shared" si="4"/>
        <v>63636.363636363632</v>
      </c>
      <c r="J218" s="147">
        <f t="shared" si="5"/>
        <v>93636.363636363632</v>
      </c>
    </row>
    <row r="219" spans="2:15" ht="13" customHeight="1" thickBot="1">
      <c r="C219" s="158">
        <v>0.3</v>
      </c>
      <c r="D219" s="115">
        <f t="shared" si="0"/>
        <v>1400</v>
      </c>
      <c r="E219" s="115">
        <f t="shared" si="6"/>
        <v>600</v>
      </c>
      <c r="F219" s="147">
        <f t="shared" si="1"/>
        <v>32</v>
      </c>
      <c r="G219" s="147">
        <f t="shared" si="2"/>
        <v>128</v>
      </c>
      <c r="H219" s="147">
        <f t="shared" si="3"/>
        <v>44800</v>
      </c>
      <c r="I219" s="147">
        <f t="shared" si="4"/>
        <v>69818.181818181809</v>
      </c>
      <c r="J219" s="147">
        <f t="shared" si="5"/>
        <v>114618.18181818181</v>
      </c>
    </row>
    <row r="220" spans="2:15" ht="13" customHeight="1" thickBot="1">
      <c r="C220" s="158">
        <v>0.35</v>
      </c>
      <c r="D220" s="115">
        <f t="shared" si="0"/>
        <v>1300</v>
      </c>
      <c r="E220" s="115">
        <f t="shared" si="6"/>
        <v>700</v>
      </c>
      <c r="F220" s="147">
        <f t="shared" si="1"/>
        <v>44</v>
      </c>
      <c r="G220" s="147">
        <f t="shared" si="2"/>
        <v>116</v>
      </c>
      <c r="H220" s="147">
        <f t="shared" si="3"/>
        <v>57200</v>
      </c>
      <c r="I220" s="147">
        <f t="shared" si="4"/>
        <v>73818.181818181809</v>
      </c>
      <c r="J220" s="147">
        <f t="shared" si="5"/>
        <v>131018.18181818181</v>
      </c>
    </row>
    <row r="221" spans="2:15" ht="13" customHeight="1" thickBot="1">
      <c r="C221" s="158">
        <v>0.4</v>
      </c>
      <c r="D221" s="115">
        <f t="shared" si="0"/>
        <v>1200</v>
      </c>
      <c r="E221" s="115">
        <f t="shared" si="6"/>
        <v>800</v>
      </c>
      <c r="F221" s="147">
        <f t="shared" si="1"/>
        <v>56</v>
      </c>
      <c r="G221" s="147">
        <f t="shared" si="2"/>
        <v>104</v>
      </c>
      <c r="H221" s="147">
        <f t="shared" si="3"/>
        <v>67200</v>
      </c>
      <c r="I221" s="147">
        <f t="shared" si="4"/>
        <v>75636.363636363632</v>
      </c>
      <c r="J221" s="147">
        <f t="shared" si="5"/>
        <v>142836.36363636365</v>
      </c>
    </row>
    <row r="222" spans="2:15" ht="13" customHeight="1" thickBot="1">
      <c r="C222" s="158">
        <v>0.45</v>
      </c>
      <c r="D222" s="115">
        <f t="shared" si="0"/>
        <v>1100</v>
      </c>
      <c r="E222" s="115">
        <f t="shared" si="6"/>
        <v>900</v>
      </c>
      <c r="F222" s="147">
        <f t="shared" si="1"/>
        <v>68</v>
      </c>
      <c r="G222" s="147">
        <f t="shared" si="2"/>
        <v>92</v>
      </c>
      <c r="H222" s="147">
        <f t="shared" si="3"/>
        <v>74800</v>
      </c>
      <c r="I222" s="147">
        <f t="shared" si="4"/>
        <v>75272.727272727265</v>
      </c>
      <c r="J222" s="147">
        <f t="shared" si="5"/>
        <v>150072.72727272726</v>
      </c>
    </row>
    <row r="223" spans="2:15" ht="13" customHeight="1" thickBot="1">
      <c r="C223" s="158">
        <v>0.5</v>
      </c>
      <c r="D223" s="115">
        <f t="shared" si="0"/>
        <v>1000</v>
      </c>
      <c r="E223" s="115">
        <f t="shared" si="6"/>
        <v>1000</v>
      </c>
      <c r="F223" s="147">
        <f t="shared" si="1"/>
        <v>80</v>
      </c>
      <c r="G223" s="147">
        <f t="shared" si="2"/>
        <v>80</v>
      </c>
      <c r="H223" s="147">
        <f t="shared" si="3"/>
        <v>80000</v>
      </c>
      <c r="I223" s="147">
        <f t="shared" si="4"/>
        <v>72727.272727272721</v>
      </c>
      <c r="J223" s="147">
        <f t="shared" si="5"/>
        <v>152727.27272727271</v>
      </c>
    </row>
    <row r="224" spans="2:15" ht="13" customHeight="1" thickBot="1">
      <c r="C224" s="158">
        <v>0.55000000000000004</v>
      </c>
      <c r="D224" s="115">
        <f t="shared" si="0"/>
        <v>900</v>
      </c>
      <c r="E224" s="115">
        <f t="shared" si="6"/>
        <v>1100</v>
      </c>
      <c r="F224" s="147">
        <f t="shared" si="1"/>
        <v>92</v>
      </c>
      <c r="G224" s="147">
        <f t="shared" si="2"/>
        <v>68</v>
      </c>
      <c r="H224" s="147">
        <f t="shared" si="3"/>
        <v>82800</v>
      </c>
      <c r="I224" s="147">
        <f t="shared" si="4"/>
        <v>68000</v>
      </c>
      <c r="J224" s="147">
        <f t="shared" si="5"/>
        <v>150800</v>
      </c>
    </row>
    <row r="225" spans="3:10" ht="13" customHeight="1" thickBot="1">
      <c r="C225" s="158">
        <v>0.6</v>
      </c>
      <c r="D225" s="115">
        <f t="shared" si="0"/>
        <v>800</v>
      </c>
      <c r="E225" s="115">
        <f t="shared" si="6"/>
        <v>1200</v>
      </c>
      <c r="F225" s="147">
        <f t="shared" si="1"/>
        <v>104</v>
      </c>
      <c r="G225" s="147">
        <f t="shared" si="2"/>
        <v>56</v>
      </c>
      <c r="H225" s="147">
        <f t="shared" si="3"/>
        <v>83200</v>
      </c>
      <c r="I225" s="147">
        <f t="shared" si="4"/>
        <v>61090.909090909088</v>
      </c>
      <c r="J225" s="147">
        <f t="shared" si="5"/>
        <v>144290.90909090909</v>
      </c>
    </row>
    <row r="226" spans="3:10" ht="13" customHeight="1" thickBot="1">
      <c r="C226" s="158">
        <v>0.65</v>
      </c>
      <c r="D226" s="115">
        <f t="shared" si="0"/>
        <v>700</v>
      </c>
      <c r="E226" s="115">
        <f t="shared" si="6"/>
        <v>1300</v>
      </c>
      <c r="F226" s="147">
        <f t="shared" si="1"/>
        <v>116</v>
      </c>
      <c r="G226" s="147">
        <f t="shared" si="2"/>
        <v>44</v>
      </c>
      <c r="H226" s="147">
        <f t="shared" si="3"/>
        <v>81200</v>
      </c>
      <c r="I226" s="147">
        <f t="shared" si="4"/>
        <v>51999.999999999993</v>
      </c>
      <c r="J226" s="147">
        <f t="shared" si="5"/>
        <v>133200</v>
      </c>
    </row>
    <row r="227" spans="3:10" ht="13" customHeight="1" thickBot="1">
      <c r="C227" s="158">
        <v>0.7</v>
      </c>
      <c r="D227" s="115">
        <f t="shared" si="0"/>
        <v>600</v>
      </c>
      <c r="E227" s="115">
        <f t="shared" si="6"/>
        <v>1400</v>
      </c>
      <c r="F227" s="147">
        <f t="shared" si="1"/>
        <v>128</v>
      </c>
      <c r="G227" s="147">
        <f t="shared" si="2"/>
        <v>32</v>
      </c>
      <c r="H227" s="147">
        <f t="shared" si="3"/>
        <v>76800</v>
      </c>
      <c r="I227" s="147">
        <f t="shared" si="4"/>
        <v>40727.272727272721</v>
      </c>
      <c r="J227" s="147">
        <f t="shared" si="5"/>
        <v>117527.27272727272</v>
      </c>
    </row>
    <row r="228" spans="3:10" ht="13" customHeight="1" thickBot="1">
      <c r="C228" s="158">
        <v>0.75</v>
      </c>
      <c r="D228" s="115">
        <f t="shared" si="0"/>
        <v>500</v>
      </c>
      <c r="E228" s="115">
        <f t="shared" si="6"/>
        <v>1500</v>
      </c>
      <c r="F228" s="147">
        <f t="shared" si="1"/>
        <v>140</v>
      </c>
      <c r="G228" s="147">
        <f t="shared" si="2"/>
        <v>20</v>
      </c>
      <c r="H228" s="147">
        <f t="shared" si="3"/>
        <v>70000</v>
      </c>
      <c r="I228" s="147">
        <f t="shared" si="4"/>
        <v>27272.727272727272</v>
      </c>
      <c r="J228" s="147">
        <f t="shared" si="5"/>
        <v>97272.727272727265</v>
      </c>
    </row>
    <row r="229" spans="3:10" ht="13" customHeight="1" thickBot="1">
      <c r="C229" s="158">
        <v>0.8</v>
      </c>
      <c r="D229" s="115">
        <f t="shared" si="0"/>
        <v>400</v>
      </c>
      <c r="E229" s="115">
        <f t="shared" si="6"/>
        <v>1600</v>
      </c>
      <c r="F229" s="147">
        <f t="shared" si="1"/>
        <v>152</v>
      </c>
      <c r="G229" s="147">
        <f t="shared" si="2"/>
        <v>8</v>
      </c>
      <c r="H229" s="147">
        <f t="shared" si="3"/>
        <v>60800</v>
      </c>
      <c r="I229" s="147">
        <f t="shared" si="4"/>
        <v>11636.363636363636</v>
      </c>
      <c r="J229" s="147">
        <f t="shared" si="5"/>
        <v>72436.363636363632</v>
      </c>
    </row>
    <row r="230" spans="3:10" ht="13" customHeight="1" thickBot="1">
      <c r="C230" s="158">
        <v>0.85</v>
      </c>
      <c r="D230" s="115">
        <f t="shared" si="0"/>
        <v>300</v>
      </c>
      <c r="E230" s="115">
        <f t="shared" si="6"/>
        <v>1700</v>
      </c>
      <c r="F230" s="147">
        <f t="shared" si="1"/>
        <v>164</v>
      </c>
      <c r="G230" s="147">
        <f t="shared" si="2"/>
        <v>-4</v>
      </c>
      <c r="H230" s="147">
        <f t="shared" si="3"/>
        <v>49200</v>
      </c>
      <c r="I230" s="147">
        <f t="shared" si="4"/>
        <v>-6181.8181818181811</v>
      </c>
      <c r="J230" s="147">
        <f t="shared" si="5"/>
        <v>43018.181818181816</v>
      </c>
    </row>
    <row r="231" spans="3:10" ht="13" customHeight="1" thickBot="1">
      <c r="C231" s="158">
        <v>0.9</v>
      </c>
      <c r="D231" s="115">
        <f t="shared" si="0"/>
        <v>200</v>
      </c>
      <c r="E231" s="115">
        <f t="shared" si="6"/>
        <v>1800</v>
      </c>
      <c r="F231" s="147">
        <f t="shared" si="1"/>
        <v>176</v>
      </c>
      <c r="G231" s="147">
        <f t="shared" si="2"/>
        <v>-16</v>
      </c>
      <c r="H231" s="147">
        <f t="shared" si="3"/>
        <v>35200</v>
      </c>
      <c r="I231" s="147">
        <f t="shared" si="4"/>
        <v>-26181.81818181818</v>
      </c>
      <c r="J231" s="147">
        <f t="shared" si="5"/>
        <v>9018.1818181818198</v>
      </c>
    </row>
    <row r="232" spans="3:10" ht="13" customHeight="1" thickBot="1">
      <c r="C232" s="158">
        <v>0.95</v>
      </c>
      <c r="D232" s="115">
        <f t="shared" si="0"/>
        <v>100</v>
      </c>
      <c r="E232" s="115">
        <f t="shared" si="6"/>
        <v>1900</v>
      </c>
      <c r="F232" s="147">
        <f t="shared" si="1"/>
        <v>188</v>
      </c>
      <c r="G232" s="147">
        <f t="shared" si="2"/>
        <v>-28</v>
      </c>
      <c r="H232" s="147">
        <f t="shared" si="3"/>
        <v>18800</v>
      </c>
      <c r="I232" s="147">
        <f t="shared" si="4"/>
        <v>-48363.63636363636</v>
      </c>
      <c r="J232" s="147">
        <f t="shared" si="5"/>
        <v>-29563.63636363636</v>
      </c>
    </row>
    <row r="233" spans="3:10" ht="13" customHeight="1" thickBot="1">
      <c r="C233" s="158">
        <v>1</v>
      </c>
      <c r="D233" s="115">
        <f t="shared" si="0"/>
        <v>0</v>
      </c>
      <c r="E233" s="115">
        <f t="shared" si="6"/>
        <v>2000</v>
      </c>
      <c r="F233" s="147">
        <f t="shared" si="1"/>
        <v>200</v>
      </c>
      <c r="G233" s="147">
        <f t="shared" si="2"/>
        <v>-40</v>
      </c>
      <c r="H233" s="147">
        <f t="shared" si="3"/>
        <v>0</v>
      </c>
      <c r="I233" s="147">
        <f t="shared" si="4"/>
        <v>-72727.272727272721</v>
      </c>
      <c r="J233" s="147">
        <f t="shared" si="5"/>
        <v>-72727.272727272721</v>
      </c>
    </row>
    <row r="257" spans="5:8" ht="13" customHeight="1">
      <c r="F257" s="8" t="s">
        <v>93</v>
      </c>
    </row>
    <row r="258" spans="5:8" ht="17" thickBot="1">
      <c r="E258" s="159" t="s">
        <v>92</v>
      </c>
      <c r="F258" s="5">
        <f>$H$17</f>
        <v>0.1</v>
      </c>
      <c r="G258" s="5">
        <v>0.1</v>
      </c>
      <c r="H258" s="5">
        <v>0.15</v>
      </c>
    </row>
    <row r="259" spans="5:8" ht="17" thickBot="1">
      <c r="E259" s="159" t="s">
        <v>89</v>
      </c>
      <c r="F259" s="147">
        <f>(($H$36*$J$36)/(1+$F$258)^0)+($H$37*$J$37)/(1+$F$258)^1</f>
        <v>148571.42857142858</v>
      </c>
      <c r="G259" s="147">
        <v>892.85714285714278</v>
      </c>
      <c r="H259" s="147">
        <v>872.09302325581393</v>
      </c>
    </row>
    <row r="260" spans="5:8" ht="17" thickBot="1">
      <c r="E260" s="159" t="s">
        <v>90</v>
      </c>
      <c r="F260" s="147">
        <f>((I87*K87)/(1+$F$258)^0)+((I88*K88)/(1+$F$258)^1)+(I89*K89)/(1+$F$258)^2</f>
        <v>213897.28096676734</v>
      </c>
      <c r="G260" s="147">
        <v>1019.6374622356493</v>
      </c>
      <c r="H260" s="147">
        <v>971.92224622030233</v>
      </c>
    </row>
    <row r="261" spans="5:8" ht="17" thickBot="1">
      <c r="E261" s="159" t="s">
        <v>91</v>
      </c>
      <c r="F261" s="147">
        <f>((J154*L154)/(1+$F$258)^0)+((J155*L155)/(1+$F$258)^1)+((J156*L156)/(1+$F$258)^2)+(J157*L157)/(1+$F$258)^3</f>
        <v>237879.76729153196</v>
      </c>
      <c r="G261" s="147">
        <v>1050.4201680672265</v>
      </c>
      <c r="H261" s="147">
        <v>976.29358900543241</v>
      </c>
    </row>
    <row r="262" spans="5:8" ht="13" customHeight="1">
      <c r="E262" s="159"/>
    </row>
    <row r="263" spans="5:8" ht="13" customHeight="1">
      <c r="E263" s="159"/>
    </row>
  </sheetData>
  <pageMargins left="0.3" right="0.3" top="0.7" bottom="0.7" header="0.5" footer="0.5"/>
  <pageSetup scale="70" orientation="portrait" horizontalDpi="4294967292" verticalDpi="4294967292"/>
  <headerFooter alignWithMargins="0">
    <oddHeader>&amp;LPLB&amp;CMultiPeriodExhaustibleResourceModel.xls &amp;R&amp;D</oddHeader>
    <oddFooter>&amp;L&amp;C- &amp;P -&amp;R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Exhaustible Resource Model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Phillip LeBel</cp:lastModifiedBy>
  <cp:lastPrinted>2007-05-03T03:30:33Z</cp:lastPrinted>
  <dcterms:created xsi:type="dcterms:W3CDTF">1998-12-08T00:33:06Z</dcterms:created>
  <dcterms:modified xsi:type="dcterms:W3CDTF">2021-11-21T17:21:47Z</dcterms:modified>
</cp:coreProperties>
</file>