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40" windowWidth="20740" windowHeight="13420" tabRatio="10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<sst xmlns="http://schemas.openxmlformats.org/spreadsheetml/2006/main" count="332" uniqueCount="220">
  <si>
    <t>growth of output is a function of the ratio of the savings rate to the underlying capital-output ratio.  The capital-output ratio is defined as the rate of investment</t>
  </si>
  <si>
    <t xml:space="preserve">     The IS-LM model provides a foundation for many models of macroeconomic stabilization.  In its simplest form, it portrays the conditions</t>
  </si>
  <si>
    <t>in time period t divided by the change in output from time period t to period t+1, I.e.:</t>
  </si>
  <si>
    <t>This rate of interest serves as a benchmark for the opportunity cost of capital.</t>
  </si>
  <si>
    <t>Derivation of the Equilibrium Level of Output</t>
  </si>
  <si>
    <t>(Based on substitution of the equilibrium interest rate in either the IS or LM equation)</t>
  </si>
  <si>
    <t>IS</t>
  </si>
  <si>
    <t>LM</t>
  </si>
  <si>
    <t>Internal Government Balance</t>
  </si>
  <si>
    <t>Derivation of the LM Function</t>
  </si>
  <si>
    <t xml:space="preserve"> Since Ms =</t>
  </si>
  <si>
    <t>Mdt + Mda,</t>
  </si>
  <si>
    <t>Yg  +</t>
  </si>
  <si>
    <t>i)</t>
  </si>
  <si>
    <t>Yg   =</t>
  </si>
  <si>
    <t xml:space="preserve">        +</t>
  </si>
  <si>
    <t>C.</t>
  </si>
  <si>
    <t>IS = LM</t>
  </si>
  <si>
    <t xml:space="preserve">   +</t>
  </si>
  <si>
    <t>i     -    Yg</t>
  </si>
  <si>
    <t>i         =</t>
  </si>
  <si>
    <t>i =</t>
  </si>
  <si>
    <t>D.</t>
  </si>
  <si>
    <t>USRGPDI</t>
  </si>
  <si>
    <t>US CapORat</t>
  </si>
  <si>
    <t>Mean</t>
  </si>
  <si>
    <t>Median</t>
  </si>
  <si>
    <t>Stdev.</t>
  </si>
  <si>
    <t>Cap-Output Ratio</t>
  </si>
  <si>
    <t>WarrGrRate</t>
  </si>
  <si>
    <t>C.Var.</t>
  </si>
  <si>
    <t>The mean and median rates of growth of GDP serve as a benchmark for projections of real GDP and market sector growth.</t>
  </si>
  <si>
    <t>C. Market Sector Growth Model</t>
  </si>
  <si>
    <t>Derivation of the Equilibrium Interest Rate</t>
  </si>
  <si>
    <t xml:space="preserve">     Derivation of a firm's strategic plan depends not only on the current level of output and interest rates but also on projected levels of total and market sector output.</t>
  </si>
  <si>
    <t xml:space="preserve">1997 </t>
  </si>
  <si>
    <t xml:space="preserve">1998 </t>
  </si>
  <si>
    <t xml:space="preserve">1999 </t>
  </si>
  <si>
    <t xml:space="preserve">2000 </t>
  </si>
  <si>
    <t>ManShipments</t>
  </si>
  <si>
    <t>Inventories</t>
  </si>
  <si>
    <t>Inv/SalesRatio</t>
  </si>
  <si>
    <r>
      <t xml:space="preserve">1988 </t>
    </r>
    <r>
      <rPr>
        <vertAlign val="superscript"/>
        <sz val="8"/>
        <rFont val="News Gothic Condensed"/>
        <family val="0"/>
      </rPr>
      <t>3</t>
    </r>
    <r>
      <rPr>
        <sz val="8"/>
        <rFont val="News Gothic Condensed"/>
        <family val="0"/>
      </rPr>
      <t xml:space="preserve"> </t>
    </r>
  </si>
  <si>
    <r>
      <t xml:space="preserve">1992 </t>
    </r>
    <r>
      <rPr>
        <vertAlign val="superscript"/>
        <sz val="8"/>
        <rFont val="News Gothic Condensed"/>
        <family val="0"/>
      </rPr>
      <t>4</t>
    </r>
    <r>
      <rPr>
        <sz val="8"/>
        <rFont val="News Gothic Condensed"/>
        <family val="0"/>
      </rPr>
      <t xml:space="preserve"> </t>
    </r>
  </si>
  <si>
    <t>1996</t>
  </si>
  <si>
    <t>Man Sales</t>
  </si>
  <si>
    <t>StockEquity</t>
  </si>
  <si>
    <t>RRE</t>
  </si>
  <si>
    <t>RrEquity</t>
  </si>
  <si>
    <t>Invent.</t>
  </si>
  <si>
    <t>SalesRatio</t>
  </si>
  <si>
    <t>Sales</t>
  </si>
  <si>
    <t>Sector</t>
  </si>
  <si>
    <t>Current GDP</t>
  </si>
  <si>
    <t>Regression Statistics</t>
  </si>
  <si>
    <t>Multiple R</t>
  </si>
  <si>
    <t>R Square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</si>
  <si>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</si>
  <si>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</si>
  <si>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</si>
  <si>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</si>
  <si>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</si>
  <si>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</si>
  <si>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</si>
  <si>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</si>
  <si>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</si>
  <si>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</si>
  <si>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</si>
  <si>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</si>
  <si>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</si>
  <si>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</si>
  <si>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</si>
  <si>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</si>
  <si>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RGDP</t>
  </si>
  <si>
    <t>DINV</t>
  </si>
  <si>
    <t>SecSales</t>
  </si>
  <si>
    <t>Correlation Matrix</t>
  </si>
  <si>
    <t>InvRatio</t>
  </si>
  <si>
    <t>SecSales =</t>
  </si>
  <si>
    <t>GDP Growth</t>
  </si>
  <si>
    <t>Year</t>
  </si>
  <si>
    <t>Ln$1995</t>
  </si>
  <si>
    <t>LNRGDP</t>
  </si>
  <si>
    <t>Real GDP</t>
  </si>
  <si>
    <t>Base</t>
  </si>
  <si>
    <t>Optimistic</t>
  </si>
  <si>
    <t>Pessimistic</t>
  </si>
  <si>
    <t>Sales Forecast</t>
  </si>
  <si>
    <t>StdError</t>
  </si>
  <si>
    <t>Ad R Square</t>
  </si>
  <si>
    <t>Std Error</t>
  </si>
  <si>
    <t xml:space="preserve"> Sector Sales</t>
  </si>
  <si>
    <t>P. LeBel</t>
  </si>
  <si>
    <t>©2002</t>
  </si>
  <si>
    <t>A. The IS-LM Static Model of Monetary and Macroeconomic Equilibrium</t>
  </si>
  <si>
    <t xml:space="preserve">     This module is divided into several steps.  Part A uses the IS-LM model to derive the level of static aggregate economic equilibrium that corresponds to a given</t>
  </si>
  <si>
    <t>External Balance (X-M)</t>
  </si>
  <si>
    <t>Exports (X)</t>
  </si>
  <si>
    <t>Imports (M)</t>
  </si>
  <si>
    <t>Synthetic Foreign Exchange Rate (SFER)</t>
  </si>
  <si>
    <t>Government Autonomous Expenditure Level (G)</t>
  </si>
  <si>
    <t>Govt. Expenditures (G)</t>
  </si>
  <si>
    <t>Government Tax Receipts (T)</t>
  </si>
  <si>
    <t>GDP Gross Tax Rate (TXR)</t>
  </si>
  <si>
    <t>C + I + G + X - M</t>
  </si>
  <si>
    <t>X</t>
  </si>
  <si>
    <t>M</t>
  </si>
  <si>
    <t>I</t>
  </si>
  <si>
    <t>equilibrium in the monetary sectors of the economy, and in the real savings-investment sector of the economy.  We also portray in this</t>
  </si>
  <si>
    <t>module the consequences of differential interest rates on the balance of payments, and thus on the GDP.</t>
  </si>
  <si>
    <t>Foreign Interest Rate</t>
  </si>
  <si>
    <t>GDP Output</t>
  </si>
  <si>
    <t xml:space="preserve">         Solution Values:</t>
  </si>
  <si>
    <t>Personal Consumption</t>
  </si>
  <si>
    <t>GPDI</t>
  </si>
  <si>
    <t>G</t>
  </si>
  <si>
    <t>Consumption Function Intercept Term</t>
  </si>
  <si>
    <t>Simulation Tableau</t>
  </si>
  <si>
    <t xml:space="preserve">1959 </t>
  </si>
  <si>
    <t xml:space="preserve">1960 </t>
  </si>
  <si>
    <t xml:space="preserve">1961 </t>
  </si>
  <si>
    <t xml:space="preserve">1962 </t>
  </si>
  <si>
    <t xml:space="preserve">1963 </t>
  </si>
  <si>
    <t xml:space="preserve">1964 </t>
  </si>
  <si>
    <t xml:space="preserve">1965 </t>
  </si>
  <si>
    <t xml:space="preserve">1966 </t>
  </si>
  <si>
    <t xml:space="preserve">1967 </t>
  </si>
  <si>
    <t xml:space="preserve">1968 </t>
  </si>
  <si>
    <t xml:space="preserve">1969 </t>
  </si>
  <si>
    <t xml:space="preserve">1970 </t>
  </si>
  <si>
    <t xml:space="preserve">1971 </t>
  </si>
  <si>
    <t xml:space="preserve">1972 </t>
  </si>
  <si>
    <t xml:space="preserve">1973 </t>
  </si>
  <si>
    <t xml:space="preserve">1974 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</si>
  <si>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</si>
  <si>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</si>
  <si>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</si>
  <si>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</si>
  <si>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</si>
  <si>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</si>
  <si>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</si>
  <si>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</si>
  <si>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</si>
  <si>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</si>
  <si>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</si>
  <si>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</si>
  <si>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</si>
  <si>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</si>
  <si>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</si>
  <si>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</si>
  <si>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1994 </t>
  </si>
  <si>
    <t xml:space="preserve">1996 </t>
  </si>
  <si>
    <t>1997</t>
  </si>
  <si>
    <t>2000</t>
  </si>
  <si>
    <t>GDP</t>
  </si>
  <si>
    <t>FinalSales</t>
  </si>
  <si>
    <r>
      <t>D</t>
    </r>
    <r>
      <rPr>
        <sz val="10"/>
        <rFont val="Helv"/>
        <family val="0"/>
      </rPr>
      <t>Inventory</t>
    </r>
  </si>
  <si>
    <t>Economic and Environmental Forecast Module</t>
  </si>
  <si>
    <t>$1995 Real</t>
  </si>
  <si>
    <t>1982-84</t>
  </si>
  <si>
    <t>PPI</t>
  </si>
  <si>
    <t>CPI</t>
  </si>
  <si>
    <t xml:space="preserve">1986 </t>
  </si>
  <si>
    <t>1992</t>
  </si>
  <si>
    <t xml:space="preserve">1993 </t>
  </si>
  <si>
    <t xml:space="preserve">1995 </t>
  </si>
  <si>
    <t xml:space="preserve">We use historical data here to derive the projected market size for a firm's strategic business plan. To do so, one needs to examine the impact of such variables as </t>
  </si>
  <si>
    <t>the consumer prices index, changes in inventory, and the rate of return on equity, among others.  Using various model specifications, we find that  the most robust</t>
  </si>
  <si>
    <t>indicator is the growth of GDP itself, even though for some sample industries, other variables will be of greater importance.</t>
  </si>
  <si>
    <t>We now use the resulting regression equation to specify a series of alternative GDP scenarios, which in turn determine the prospective growth in GDP.  More refined projections</t>
  </si>
  <si>
    <t>take into account changes in the equilibrium level of output and interest rates, along with other independent variables that may be important determinants of the size of a firm's</t>
  </si>
  <si>
    <t>prospective market.</t>
  </si>
  <si>
    <t>Note the similar result to our warranted rate of growth calculation.</t>
  </si>
  <si>
    <t xml:space="preserve"> =</t>
  </si>
  <si>
    <t>Yg        +</t>
  </si>
  <si>
    <t xml:space="preserve">       +</t>
  </si>
  <si>
    <t xml:space="preserve">Yg      </t>
  </si>
  <si>
    <t>i      +</t>
  </si>
  <si>
    <t xml:space="preserve">B. </t>
  </si>
  <si>
    <t>Yg       +</t>
  </si>
  <si>
    <t>i   -      Yg    =</t>
  </si>
  <si>
    <r>
      <t>IS</t>
    </r>
    <r>
      <rPr>
        <sz val="10"/>
        <rFont val="Helv"/>
        <family val="0"/>
      </rPr>
      <t xml:space="preserve"> = Yg =</t>
    </r>
  </si>
  <si>
    <r>
      <t>LM</t>
    </r>
    <r>
      <rPr>
        <sz val="10"/>
        <rFont val="Helv"/>
        <family val="0"/>
      </rPr>
      <t xml:space="preserve"> = Yg =</t>
    </r>
  </si>
  <si>
    <t>Full Employment Level of Output</t>
  </si>
  <si>
    <t>of both monetary and real savings and investment equilibrium.  The equations below specify the general conditions necessary to achieve</t>
  </si>
  <si>
    <t>Investment Function Interest Rate Coefficient(IFIRC)</t>
  </si>
  <si>
    <t>Investment Function Intercept Term (IFIT)</t>
  </si>
  <si>
    <t>( =EDC*M)</t>
  </si>
  <si>
    <t>( =IDC*(IFIT+IFIRC+G))</t>
  </si>
  <si>
    <t>Base Case</t>
  </si>
  <si>
    <t>Exogenous Import Demand Coefficient (IDC)</t>
  </si>
  <si>
    <t>Dom. Equilibrium Interest Rate (DEIR)</t>
  </si>
  <si>
    <t>Export Demand Coefficient(EDC=sqrt(1/SFIR)))</t>
  </si>
  <si>
    <t>Naïve GDP and Sales Forecast Model</t>
  </si>
  <si>
    <t>Disposable Income MPC</t>
  </si>
  <si>
    <t>Money Supply (Ms)</t>
  </si>
  <si>
    <t>Monetary Transactions Demand Coefficient</t>
  </si>
  <si>
    <t>Money Asset Demand Function Intercept Term</t>
  </si>
  <si>
    <t>Money Asset Demand Interest Coefficient</t>
  </si>
  <si>
    <t xml:space="preserve">A. </t>
  </si>
  <si>
    <t>Derivation of the IS Function:</t>
  </si>
  <si>
    <t>C =</t>
  </si>
  <si>
    <t>Yd        +</t>
  </si>
  <si>
    <t>T =</t>
  </si>
  <si>
    <t>Yg</t>
  </si>
  <si>
    <t>I =</t>
  </si>
  <si>
    <t>i</t>
  </si>
  <si>
    <t>G =</t>
  </si>
  <si>
    <t>Ms =</t>
  </si>
  <si>
    <t>Mdt =</t>
  </si>
  <si>
    <t>Mda =</t>
  </si>
  <si>
    <t>Yg =</t>
  </si>
  <si>
    <t>Mdt + Mda</t>
  </si>
  <si>
    <t>Yd =</t>
  </si>
  <si>
    <t>Yg - T</t>
  </si>
  <si>
    <t>rate of interest.  This model is modified to take into account the role of relative interest rates and the impact of interest rate differentials on the external economic balance.</t>
  </si>
  <si>
    <t>In turn, part B develops a simple model of economic growth based on the Harrod-Domar model, while part C provides a framework for forecasting sector market revenues of the firm.</t>
  </si>
  <si>
    <t>All three sections are interrelated and constitute a framework for deriving the strategic plan of a firm.</t>
  </si>
  <si>
    <t>B. The Harrod-Domar Model of Economic Growth</t>
  </si>
  <si>
    <t xml:space="preserve">     The Harrod-Domar model provides a framework to derive the simple rate of growth of an economy.  In its simplest formulation, it states that the rate of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</si>
</sst>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000"/>
    <numFmt numFmtId="168" formatCode="0.\ "/>
    <numFmt numFmtId="169" formatCode="\(0.00\)"/>
    <numFmt numFmtId="170" formatCode="\(0.00"/>
    <numFmt numFmtId="171" formatCode="0.00\ \="/>
    <numFmt numFmtId="172" formatCode="0.00\ "/>
    <numFmt numFmtId="173" formatCode="0.00\)"/>
    <numFmt numFmtId="174" formatCode="\(0.000\)"/>
    <numFmt numFmtId="175" formatCode="0.000"/>
    <numFmt numFmtId="176" formatCode="0.000\ "/>
    <numFmt numFmtId="177" formatCode="&quot;$&quot;#,##0.00"/>
    <numFmt numFmtId="178" formatCode="&quot;$&quot;#,##0"/>
    <numFmt numFmtId="179" formatCode="\(0.000"/>
    <numFmt numFmtId="180" formatCode="\+\(0.00\)\x"/>
    <numFmt numFmtId="181" formatCode="\+0.00\i"/>
    <numFmt numFmtId="182" formatCode="0.00\i"/>
    <numFmt numFmtId="183" formatCode="#,##0.0000"/>
    <numFmt numFmtId="184" formatCode="&quot;$&quot;#,##0.0000"/>
    <numFmt numFmtId="185" formatCode="\+\(0.00"/>
    <numFmt numFmtId="186" formatCode="0.00\i\)"/>
    <numFmt numFmtId="187" formatCode="\+0.00"/>
    <numFmt numFmtId="188" formatCode="\+&quot;$&quot;0.00"/>
    <numFmt numFmtId="189" formatCode="\+#,###.00"/>
    <numFmt numFmtId="190" formatCode="0.00000"/>
  </numFmts>
  <fonts count="2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Helv"/>
      <family val="0"/>
    </font>
    <font>
      <sz val="8"/>
      <name val="News Gothic Condensed"/>
      <family val="0"/>
    </font>
    <font>
      <sz val="10"/>
      <name val="Symbol"/>
      <family val="0"/>
    </font>
    <font>
      <b/>
      <sz val="12"/>
      <color indexed="12"/>
      <name val="Helv"/>
      <family val="0"/>
    </font>
    <font>
      <vertAlign val="superscript"/>
      <sz val="8"/>
      <name val="News Gothic Condensed"/>
      <family val="0"/>
    </font>
    <font>
      <b/>
      <sz val="10"/>
      <color indexed="12"/>
      <name val="Helv"/>
      <family val="0"/>
    </font>
    <font>
      <sz val="9"/>
      <name val="Helv"/>
      <family val="0"/>
    </font>
    <font>
      <i/>
      <sz val="9"/>
      <name val="Helv"/>
      <family val="0"/>
    </font>
    <font>
      <b/>
      <sz val="12"/>
      <name val="Helv"/>
      <family val="0"/>
    </font>
    <font>
      <sz val="9.25"/>
      <name val="Helv"/>
      <family val="0"/>
    </font>
    <font>
      <b/>
      <sz val="14"/>
      <color indexed="12"/>
      <name val="Helv"/>
      <family val="0"/>
    </font>
    <font>
      <sz val="10.5"/>
      <name val="Helv"/>
      <family val="0"/>
    </font>
    <font>
      <sz val="10"/>
      <name val="Geneva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9.5"/>
      <name val="Helv"/>
      <family val="0"/>
    </font>
    <font>
      <sz val="8.75"/>
      <name val="Helv"/>
      <family val="0"/>
    </font>
    <font>
      <b/>
      <sz val="9"/>
      <name val="Helv"/>
      <family val="0"/>
    </font>
    <font>
      <b/>
      <sz val="12"/>
      <color indexed="8"/>
      <name val="Helv"/>
      <family val="0"/>
    </font>
    <font>
      <b/>
      <sz val="10"/>
      <color indexed="8"/>
      <name val="Helv"/>
      <family val="0"/>
    </font>
    <font>
      <sz val="10"/>
      <color indexed="12"/>
      <name val="Helv"/>
      <family val="0"/>
    </font>
    <font>
      <sz val="12"/>
      <color indexed="12"/>
      <name val="Helv"/>
      <family val="0"/>
    </font>
    <font>
      <sz val="8"/>
      <name val="Helv"/>
      <family val="0"/>
    </font>
    <font>
      <vertAlign val="superscript"/>
      <sz val="8.75"/>
      <name val="Helv"/>
      <family val="0"/>
    </font>
    <font>
      <b/>
      <sz val="9.75"/>
      <color indexed="12"/>
      <name val="Helv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horizontal="center" vertical="top" wrapText="1"/>
    </xf>
    <xf numFmtId="165" fontId="0" fillId="0" borderId="0" xfId="0" applyNumberFormat="1" applyFont="1" applyAlignment="1">
      <alignment/>
    </xf>
    <xf numFmtId="3" fontId="5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166" fontId="0" fillId="0" borderId="0" xfId="0" applyNumberForma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0" fillId="0" borderId="6" xfId="0" applyNumberFormat="1" applyFont="1" applyBorder="1" applyAlignment="1">
      <alignment horizontal="right" vertical="top" wrapText="1"/>
    </xf>
    <xf numFmtId="165" fontId="0" fillId="0" borderId="6" xfId="0" applyNumberFormat="1" applyFont="1" applyBorder="1" applyAlignment="1">
      <alignment/>
    </xf>
    <xf numFmtId="166" fontId="0" fillId="0" borderId="6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 vertical="top" wrapText="1"/>
    </xf>
    <xf numFmtId="165" fontId="0" fillId="0" borderId="6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6" fontId="0" fillId="0" borderId="7" xfId="0" applyNumberForma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ill="1" applyBorder="1" applyAlignment="1">
      <alignment horizontal="right"/>
    </xf>
    <xf numFmtId="166" fontId="0" fillId="0" borderId="11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right"/>
    </xf>
    <xf numFmtId="166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right"/>
    </xf>
    <xf numFmtId="166" fontId="0" fillId="0" borderId="16" xfId="0" applyNumberForma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1" fillId="0" borderId="7" xfId="0" applyFont="1" applyFill="1" applyBorder="1" applyAlignment="1">
      <alignment/>
    </xf>
    <xf numFmtId="166" fontId="1" fillId="0" borderId="7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/>
    </xf>
    <xf numFmtId="167" fontId="0" fillId="0" borderId="9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left"/>
    </xf>
    <xf numFmtId="0" fontId="2" fillId="0" borderId="20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 horizontal="centerContinuous"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11" fillId="0" borderId="8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 horizontal="right"/>
    </xf>
    <xf numFmtId="168" fontId="1" fillId="0" borderId="0" xfId="0" applyNumberFormat="1" applyFont="1" applyAlignment="1">
      <alignment horizontal="left"/>
    </xf>
    <xf numFmtId="2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170" fontId="0" fillId="0" borderId="17" xfId="0" applyNumberFormat="1" applyFont="1" applyBorder="1" applyAlignment="1">
      <alignment horizontal="center"/>
    </xf>
    <xf numFmtId="171" fontId="0" fillId="0" borderId="22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3" fontId="0" fillId="0" borderId="17" xfId="0" applyNumberFormat="1" applyFont="1" applyBorder="1" applyAlignment="1">
      <alignment horizontal="left"/>
    </xf>
    <xf numFmtId="174" fontId="0" fillId="0" borderId="17" xfId="0" applyNumberFormat="1" applyFont="1" applyBorder="1" applyAlignment="1">
      <alignment horizontal="left"/>
    </xf>
    <xf numFmtId="175" fontId="0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77" fontId="1" fillId="0" borderId="6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9" fontId="0" fillId="0" borderId="17" xfId="0" applyNumberFormat="1" applyFont="1" applyBorder="1" applyAlignment="1">
      <alignment/>
    </xf>
    <xf numFmtId="166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22" xfId="0" applyFont="1" applyBorder="1" applyAlignment="1">
      <alignment horizontal="right" vertical="center"/>
    </xf>
    <xf numFmtId="0" fontId="1" fillId="0" borderId="17" xfId="0" applyFont="1" applyBorder="1" applyAlignment="1">
      <alignment/>
    </xf>
    <xf numFmtId="181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/>
    </xf>
    <xf numFmtId="182" fontId="1" fillId="0" borderId="17" xfId="0" applyNumberFormat="1" applyFont="1" applyBorder="1" applyAlignment="1">
      <alignment/>
    </xf>
    <xf numFmtId="166" fontId="1" fillId="0" borderId="18" xfId="0" applyNumberFormat="1" applyFont="1" applyBorder="1" applyAlignment="1">
      <alignment horizontal="left"/>
    </xf>
    <xf numFmtId="169" fontId="0" fillId="0" borderId="18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center"/>
    </xf>
    <xf numFmtId="0" fontId="1" fillId="0" borderId="6" xfId="0" applyFont="1" applyBorder="1" applyAlignment="1">
      <alignment/>
    </xf>
    <xf numFmtId="166" fontId="1" fillId="0" borderId="6" xfId="0" applyNumberFormat="1" applyFont="1" applyBorder="1" applyAlignment="1">
      <alignment/>
    </xf>
    <xf numFmtId="175" fontId="1" fillId="0" borderId="6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77" fontId="1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183" fontId="1" fillId="0" borderId="6" xfId="0" applyNumberFormat="1" applyFont="1" applyBorder="1" applyAlignment="1">
      <alignment horizontal="right"/>
    </xf>
    <xf numFmtId="183" fontId="1" fillId="0" borderId="6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185" fontId="0" fillId="0" borderId="17" xfId="0" applyNumberFormat="1" applyFont="1" applyBorder="1" applyAlignment="1">
      <alignment horizontal="left"/>
    </xf>
    <xf numFmtId="186" fontId="0" fillId="0" borderId="17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188" fontId="0" fillId="0" borderId="17" xfId="0" applyNumberFormat="1" applyFont="1" applyBorder="1" applyAlignment="1">
      <alignment horizontal="center"/>
    </xf>
    <xf numFmtId="182" fontId="0" fillId="0" borderId="0" xfId="0" applyNumberFormat="1" applyFont="1" applyAlignment="1">
      <alignment/>
    </xf>
    <xf numFmtId="2" fontId="0" fillId="0" borderId="18" xfId="0" applyNumberFormat="1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18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22" xfId="0" applyNumberFormat="1" applyFont="1" applyBorder="1" applyAlignment="1">
      <alignment horizontal="right"/>
    </xf>
    <xf numFmtId="189" fontId="0" fillId="0" borderId="1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left"/>
    </xf>
    <xf numFmtId="0" fontId="12" fillId="0" borderId="22" xfId="0" applyFont="1" applyBorder="1" applyAlignment="1">
      <alignment/>
    </xf>
    <xf numFmtId="0" fontId="4" fillId="0" borderId="17" xfId="0" applyFont="1" applyBorder="1" applyAlignment="1">
      <alignment/>
    </xf>
    <xf numFmtId="164" fontId="10" fillId="0" borderId="0" xfId="0" applyNumberFormat="1" applyFont="1" applyBorder="1" applyAlignment="1">
      <alignment vertical="top" wrapText="1"/>
    </xf>
    <xf numFmtId="4" fontId="0" fillId="0" borderId="6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2" fillId="0" borderId="22" xfId="0" applyFont="1" applyBorder="1" applyAlignment="1">
      <alignment horizontal="left"/>
    </xf>
    <xf numFmtId="0" fontId="23" fillId="0" borderId="17" xfId="0" applyFont="1" applyBorder="1" applyAlignment="1">
      <alignment/>
    </xf>
    <xf numFmtId="177" fontId="1" fillId="0" borderId="12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right" vertical="top" wrapText="1"/>
    </xf>
    <xf numFmtId="2" fontId="0" fillId="0" borderId="4" xfId="0" applyNumberFormat="1" applyFont="1" applyBorder="1" applyAlignment="1">
      <alignment/>
    </xf>
    <xf numFmtId="166" fontId="0" fillId="0" borderId="4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right" vertical="top" wrapText="1"/>
    </xf>
    <xf numFmtId="2" fontId="0" fillId="0" borderId="9" xfId="0" applyNumberFormat="1" applyFont="1" applyBorder="1" applyAlignment="1">
      <alignment/>
    </xf>
    <xf numFmtId="166" fontId="0" fillId="0" borderId="9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right" vertical="top" wrapText="1"/>
    </xf>
    <xf numFmtId="2" fontId="0" fillId="0" borderId="5" xfId="0" applyNumberFormat="1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66" fontId="4" fillId="0" borderId="0" xfId="0" applyNumberFormat="1" applyFont="1" applyAlignment="1">
      <alignment/>
    </xf>
    <xf numFmtId="166" fontId="0" fillId="0" borderId="7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90" fontId="1" fillId="0" borderId="11" xfId="0" applyNumberFormat="1" applyFont="1" applyBorder="1" applyAlignment="1">
      <alignment/>
    </xf>
    <xf numFmtId="166" fontId="0" fillId="0" borderId="7" xfId="0" applyNumberForma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ecastModule.xls Chart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GDP Forecast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825"/>
          <c:y val="0.11875"/>
          <c:w val="0.9635"/>
          <c:h val="0.7695"/>
        </c:manualLayout>
      </c:layout>
      <c:lineChart>
        <c:grouping val="standard"/>
        <c:varyColors val="0"/>
        <c:ser>
          <c:idx val="1"/>
          <c:order val="0"/>
          <c:tx>
            <c:v>Pessimistic Growth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Sheet1!$A$179:$A$187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Sheet1!$B$179:$B$187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Baseline Growth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Sheet1!$A$179:$A$187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Sheet1!$C$179:$C$187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Optimistic Growth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Sheet1!$A$179:$A$187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Sheet1!$D$179:$D$187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4948934"/>
        <c:axId val="322679"/>
      </c:line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322679"/>
        <c:crosses val="autoZero"/>
        <c:auto val="1"/>
        <c:lblOffset val="100"/>
        <c:noMultiLvlLbl val="0"/>
      </c:catAx>
      <c:valAx>
        <c:axId val="32267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1494893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1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Sector Sales Forecast</a:t>
            </a:r>
          </a:p>
        </c:rich>
      </c:tx>
      <c:layout/>
      <c:spPr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2"/>
          <c:y val="0.11875"/>
          <c:w val="0.95975"/>
          <c:h val="0.792"/>
        </c:manualLayout>
      </c:layout>
      <c:lineChart>
        <c:grouping val="standard"/>
        <c:varyColors val="0"/>
        <c:ser>
          <c:idx val="0"/>
          <c:order val="0"/>
          <c:tx>
            <c:v>Pessimistic Case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Sheet1!$A$179:$A$187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Sheet1!$E$179:$E$187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 Case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Sheet1!$A$179:$A$187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Sheet1!$F$179:$F$187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Optimistic Case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Sheet1!$A$179:$A$187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Sheet1!$G$179:$G$187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904112"/>
        <c:axId val="26137009"/>
      </c:line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6137009"/>
        <c:crosses val="autoZero"/>
        <c:auto val="1"/>
        <c:lblOffset val="100"/>
        <c:noMultiLvlLbl val="0"/>
      </c:catAx>
      <c:valAx>
        <c:axId val="26137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90411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93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IS-LM Aggregate Equilibrium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125"/>
          <c:y val="0.181"/>
          <c:w val="0.95775"/>
          <c:h val="0.7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Sheet1!$J$220</c:f>
              <c:strCache>
                <c:ptCount val="1"/>
                <c:pt idx="0">
                  <c:v>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Sheet1!$I$221:$I$239</c:f>
              <c:numCache>
                <c:ptCount val="19"/>
                <c:pt idx="0">
                  <c:v>0</c:v>
                </c:pt>
                <c:pt idx="1">
                  <c:v>1155.6646648819635</c:v>
                </c:pt>
                <c:pt idx="2">
                  <c:v>2311.329329763927</c:v>
                </c:pt>
                <c:pt idx="3">
                  <c:v>3466.993994645891</c:v>
                </c:pt>
                <c:pt idx="4">
                  <c:v>4622.658659527854</c:v>
                </c:pt>
                <c:pt idx="5">
                  <c:v>5778.323324409817</c:v>
                </c:pt>
                <c:pt idx="6">
                  <c:v>6933.987989291781</c:v>
                </c:pt>
                <c:pt idx="7">
                  <c:v>8089.652654173744</c:v>
                </c:pt>
                <c:pt idx="8">
                  <c:v>9245.317319055708</c:v>
                </c:pt>
                <c:pt idx="9">
                  <c:v>10400.981983937672</c:v>
                </c:pt>
                <c:pt idx="10">
                  <c:v>11556.646648819637</c:v>
                </c:pt>
                <c:pt idx="11">
                  <c:v>12712.3113137016</c:v>
                </c:pt>
                <c:pt idx="12">
                  <c:v>13867.975978583565</c:v>
                </c:pt>
                <c:pt idx="13">
                  <c:v>15023.64064346553</c:v>
                </c:pt>
                <c:pt idx="14">
                  <c:v>16179.305308347493</c:v>
                </c:pt>
                <c:pt idx="15">
                  <c:v>17334.969973229458</c:v>
                </c:pt>
                <c:pt idx="16">
                  <c:v>18490.63463811142</c:v>
                </c:pt>
                <c:pt idx="17">
                  <c:v>19646.299302993382</c:v>
                </c:pt>
                <c:pt idx="18">
                  <c:v>20801.963967875345</c:v>
                </c:pt>
              </c:numCache>
            </c:numRef>
          </c:xVal>
          <c:yVal>
            <c:numRef>
              <c:f>Sheet1!$J$221:$J$239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8.314099508131985</c:v>
                </c:pt>
                <c:pt idx="7">
                  <c:v>6.179009039762558</c:v>
                </c:pt>
                <c:pt idx="8">
                  <c:v>4.043918571393129</c:v>
                </c:pt>
                <c:pt idx="9">
                  <c:v>1.9088281030237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Sheet1!$K$220</c:f>
              <c:strCache>
                <c:ptCount val="1"/>
                <c:pt idx="0">
                  <c:v>LM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Sheet1!$I$221:$I$239</c:f>
              <c:numCache>
                <c:ptCount val="19"/>
                <c:pt idx="0">
                  <c:v>0</c:v>
                </c:pt>
                <c:pt idx="1">
                  <c:v>1155.6646648819635</c:v>
                </c:pt>
                <c:pt idx="2">
                  <c:v>2311.329329763927</c:v>
                </c:pt>
                <c:pt idx="3">
                  <c:v>3466.993994645891</c:v>
                </c:pt>
                <c:pt idx="4">
                  <c:v>4622.658659527854</c:v>
                </c:pt>
                <c:pt idx="5">
                  <c:v>5778.323324409817</c:v>
                </c:pt>
                <c:pt idx="6">
                  <c:v>6933.987989291781</c:v>
                </c:pt>
                <c:pt idx="7">
                  <c:v>8089.652654173744</c:v>
                </c:pt>
                <c:pt idx="8">
                  <c:v>9245.317319055708</c:v>
                </c:pt>
                <c:pt idx="9">
                  <c:v>10400.981983937672</c:v>
                </c:pt>
                <c:pt idx="10">
                  <c:v>11556.646648819637</c:v>
                </c:pt>
                <c:pt idx="11">
                  <c:v>12712.3113137016</c:v>
                </c:pt>
                <c:pt idx="12">
                  <c:v>13867.975978583565</c:v>
                </c:pt>
                <c:pt idx="13">
                  <c:v>15023.64064346553</c:v>
                </c:pt>
                <c:pt idx="14">
                  <c:v>16179.305308347493</c:v>
                </c:pt>
                <c:pt idx="15">
                  <c:v>17334.969973229458</c:v>
                </c:pt>
                <c:pt idx="16">
                  <c:v>18490.63463811142</c:v>
                </c:pt>
                <c:pt idx="17">
                  <c:v>19646.299302993382</c:v>
                </c:pt>
                <c:pt idx="18">
                  <c:v>20801.963967875345</c:v>
                </c:pt>
              </c:numCache>
            </c:numRef>
          </c:xVal>
          <c:yVal>
            <c:numRef>
              <c:f>Sheet1!$K$221:$K$239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0.19248498661472738</c:v>
                </c:pt>
                <c:pt idx="11">
                  <c:v>1.0592334852762004</c:v>
                </c:pt>
                <c:pt idx="12">
                  <c:v>1.9259819839376735</c:v>
                </c:pt>
                <c:pt idx="13">
                  <c:v>2.7927304825991466</c:v>
                </c:pt>
                <c:pt idx="14">
                  <c:v>3.6594789812606194</c:v>
                </c:pt>
                <c:pt idx="15">
                  <c:v>4.526227479922093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33906490"/>
        <c:axId val="36722955"/>
      </c:scatterChart>
      <c:val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6722955"/>
        <c:crosses val="autoZero"/>
        <c:crossBetween val="midCat"/>
        <c:dispUnits/>
      </c:valAx>
      <c:valAx>
        <c:axId val="36722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3906490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92375"/>
          <c:w val="0.22125"/>
          <c:h val="0.05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U.S.Capital-Output Ratio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9"/>
          <c:y val="0.1885"/>
          <c:w val="0.96175"/>
          <c:h val="0.64125"/>
        </c:manualLayout>
      </c:layout>
      <c:lineChart>
        <c:grouping val="standard"/>
        <c:varyColors val="0"/>
        <c:ser>
          <c:idx val="0"/>
          <c:order val="0"/>
          <c:tx>
            <c:v>U.S. Capital Output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U.S.Capital-Output Ratio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Sheet1!$B$69:$B$111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Sheet1!$E$69:$E$111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marker val="1"/>
        <c:axId val="62071140"/>
        <c:axId val="21769349"/>
      </c:line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1769349"/>
        <c:crosses val="autoZero"/>
        <c:auto val="1"/>
        <c:lblOffset val="100"/>
        <c:noMultiLvlLbl val="0"/>
      </c:catAx>
      <c:valAx>
        <c:axId val="21769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6207114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835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U.S. Warranted Growth Rate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925"/>
          <c:y val="0.146"/>
          <c:w val="0.9617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Sheet1!$F$68</c:f>
              <c:strCache>
                <c:ptCount val="1"/>
                <c:pt idx="0">
                  <c:v>WarrGrRate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U.S.WarrantedGrowthRateTrend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Sheet1!$B$69:$B$111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Sheet1!$F$69:$F$111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marker val="1"/>
        <c:axId val="61706414"/>
        <c:axId val="18486815"/>
      </c:line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18486815"/>
        <c:crosses val="autoZero"/>
        <c:auto val="1"/>
        <c:lblOffset val="100"/>
        <c:noMultiLvlLbl val="0"/>
      </c:catAx>
      <c:valAx>
        <c:axId val="18486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6170641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2"/>
          <c:y val="0.904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</cdr:x>
      <cdr:y>0.88275</cdr:y>
    </cdr:from>
    <cdr:to>
      <cdr:x>0.92025</cdr:x>
      <cdr:y>0.9465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3152775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Output</a:t>
          </a:r>
        </a:p>
      </cdr:txBody>
    </cdr:sp>
  </cdr:relSizeAnchor>
  <cdr:relSizeAnchor xmlns:cdr="http://schemas.openxmlformats.org/drawingml/2006/chartDrawing">
    <cdr:from>
      <cdr:x>0</cdr:x>
      <cdr:y>0.12975</cdr:y>
    </cdr:from>
    <cdr:to>
      <cdr:x>0.1745</cdr:x>
      <cdr:y>0.191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572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Interest Rate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171</xdr:row>
      <xdr:rowOff>114300</xdr:rowOff>
    </xdr:from>
    <xdr:to>
      <xdr:col>16</xdr:col>
      <xdr:colOff>209550</xdr:colOff>
      <xdr:row>190</xdr:row>
      <xdr:rowOff>57150</xdr:rowOff>
    </xdr:to>
    <xdr:graphicFrame>
      <xdr:nvGraphicFramePr>
        <xdr:cNvPr id="1" name="Chart 1"/>
        <xdr:cNvGraphicFramePr/>
      </xdr:nvGraphicFramePr>
      <xdr:xfrm>
        <a:off x="5448300" y="30737175"/>
        <a:ext cx="56007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190</xdr:row>
      <xdr:rowOff>171450</xdr:rowOff>
    </xdr:from>
    <xdr:to>
      <xdr:col>16</xdr:col>
      <xdr:colOff>219075</xdr:colOff>
      <xdr:row>213</xdr:row>
      <xdr:rowOff>9525</xdr:rowOff>
    </xdr:to>
    <xdr:graphicFrame>
      <xdr:nvGraphicFramePr>
        <xdr:cNvPr id="2" name="Chart 2"/>
        <xdr:cNvGraphicFramePr/>
      </xdr:nvGraphicFramePr>
      <xdr:xfrm>
        <a:off x="5448300" y="34261425"/>
        <a:ext cx="56102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24</xdr:row>
      <xdr:rowOff>28575</xdr:rowOff>
    </xdr:from>
    <xdr:to>
      <xdr:col>14</xdr:col>
      <xdr:colOff>457200</xdr:colOff>
      <xdr:row>41</xdr:row>
      <xdr:rowOff>57150</xdr:rowOff>
    </xdr:to>
    <xdr:graphicFrame>
      <xdr:nvGraphicFramePr>
        <xdr:cNvPr id="3" name="Chart 10"/>
        <xdr:cNvGraphicFramePr/>
      </xdr:nvGraphicFramePr>
      <xdr:xfrm>
        <a:off x="5295900" y="4448175"/>
        <a:ext cx="4800600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66</xdr:row>
      <xdr:rowOff>152400</xdr:rowOff>
    </xdr:from>
    <xdr:to>
      <xdr:col>13</xdr:col>
      <xdr:colOff>66675</xdr:colOff>
      <xdr:row>90</xdr:row>
      <xdr:rowOff>9525</xdr:rowOff>
    </xdr:to>
    <xdr:graphicFrame>
      <xdr:nvGraphicFramePr>
        <xdr:cNvPr id="4" name="Chart 12"/>
        <xdr:cNvGraphicFramePr/>
      </xdr:nvGraphicFramePr>
      <xdr:xfrm>
        <a:off x="3838575" y="12792075"/>
        <a:ext cx="535305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19050</xdr:colOff>
      <xdr:row>93</xdr:row>
      <xdr:rowOff>200025</xdr:rowOff>
    </xdr:from>
    <xdr:to>
      <xdr:col>13</xdr:col>
      <xdr:colOff>57150</xdr:colOff>
      <xdr:row>111</xdr:row>
      <xdr:rowOff>161925</xdr:rowOff>
    </xdr:to>
    <xdr:graphicFrame>
      <xdr:nvGraphicFramePr>
        <xdr:cNvPr id="5" name="Chart 13"/>
        <xdr:cNvGraphicFramePr/>
      </xdr:nvGraphicFramePr>
      <xdr:xfrm>
        <a:off x="3838575" y="16192500"/>
        <a:ext cx="5343525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5"/>
  <sheetViews>
    <sheetView tabSelected="1" workbookViewId="0" topLeftCell="A1">
      <selection activeCell="O23" sqref="O23"/>
    </sheetView>
  </sheetViews>
  <sheetFormatPr defaultColWidth="11.421875" defaultRowHeight="12.75"/>
  <cols>
    <col min="1" max="1" width="6.140625" style="4" bestFit="1" customWidth="1"/>
    <col min="2" max="3" width="9.8515625" style="5" customWidth="1"/>
    <col min="4" max="4" width="9.140625" style="5" customWidth="1"/>
    <col min="5" max="5" width="11.8515625" style="1" customWidth="1"/>
    <col min="6" max="6" width="10.421875" style="1" customWidth="1"/>
    <col min="7" max="7" width="12.00390625" style="1" customWidth="1"/>
    <col min="8" max="8" width="9.421875" style="1" customWidth="1"/>
    <col min="9" max="9" width="10.140625" style="1" customWidth="1"/>
    <col min="10" max="10" width="13.28125" style="1" customWidth="1"/>
    <col min="11" max="11" width="14.00390625" style="1" customWidth="1"/>
    <col min="12" max="12" width="11.8515625" style="1" bestFit="1" customWidth="1"/>
    <col min="13" max="13" width="8.8515625" style="1" customWidth="1"/>
    <col min="14" max="14" width="7.7109375" style="1" customWidth="1"/>
    <col min="15" max="15" width="8.8515625" style="1" customWidth="1"/>
    <col min="16" max="16" width="9.140625" style="1" customWidth="1"/>
    <col min="17" max="17" width="7.7109375" style="1" customWidth="1"/>
    <col min="18" max="18" width="4.28125" style="1" customWidth="1"/>
    <col min="19" max="19" width="4.7109375" style="1" customWidth="1"/>
    <col min="20" max="16384" width="10.8515625" style="1" customWidth="1"/>
  </cols>
  <sheetData>
    <row r="1" spans="1:12" ht="15" thickBot="1">
      <c r="A1" s="1"/>
      <c r="B1" s="1"/>
      <c r="C1" s="1"/>
      <c r="D1" s="1"/>
      <c r="E1" s="52"/>
      <c r="F1" s="8"/>
      <c r="G1" s="8"/>
      <c r="H1" s="9" t="s">
        <v>157</v>
      </c>
      <c r="I1" s="8"/>
      <c r="J1" s="8"/>
      <c r="K1" s="8"/>
      <c r="L1" s="166"/>
    </row>
    <row r="2" spans="2:16" s="75" customFormat="1" ht="13.5">
      <c r="B2" s="102" t="s">
        <v>93</v>
      </c>
      <c r="E2" s="168"/>
      <c r="F2" s="169"/>
      <c r="G2" s="169"/>
      <c r="H2" s="170"/>
      <c r="I2" s="169"/>
      <c r="J2" s="169"/>
      <c r="K2" s="169"/>
      <c r="L2" s="167"/>
      <c r="P2" s="93" t="s">
        <v>92</v>
      </c>
    </row>
    <row r="3" spans="2:16" s="75" customFormat="1" ht="13.5">
      <c r="B3" s="175" t="s">
        <v>95</v>
      </c>
      <c r="E3" s="171"/>
      <c r="F3" s="172"/>
      <c r="G3" s="172"/>
      <c r="H3" s="173"/>
      <c r="I3" s="172"/>
      <c r="J3" s="172"/>
      <c r="K3" s="172"/>
      <c r="L3" s="172"/>
      <c r="P3" s="174"/>
    </row>
    <row r="4" spans="2:16" s="75" customFormat="1" ht="13.5">
      <c r="B4" s="175" t="s">
        <v>215</v>
      </c>
      <c r="E4" s="171"/>
      <c r="F4" s="172"/>
      <c r="G4" s="172"/>
      <c r="H4" s="173"/>
      <c r="I4" s="172"/>
      <c r="J4" s="172"/>
      <c r="K4" s="172"/>
      <c r="L4" s="172"/>
      <c r="P4" s="174"/>
    </row>
    <row r="5" spans="2:16" s="75" customFormat="1" ht="13.5">
      <c r="B5" s="175" t="s">
        <v>216</v>
      </c>
      <c r="E5" s="171"/>
      <c r="F5" s="172"/>
      <c r="G5" s="172"/>
      <c r="H5" s="173"/>
      <c r="I5" s="172"/>
      <c r="J5" s="172"/>
      <c r="K5" s="172"/>
      <c r="L5" s="172"/>
      <c r="P5" s="174"/>
    </row>
    <row r="6" spans="2:16" s="75" customFormat="1" ht="15" thickBot="1">
      <c r="B6" s="175" t="s">
        <v>217</v>
      </c>
      <c r="E6" s="171"/>
      <c r="F6" s="172"/>
      <c r="G6" s="172"/>
      <c r="H6" s="173"/>
      <c r="I6" s="172"/>
      <c r="J6" s="172"/>
      <c r="K6" s="172"/>
      <c r="L6" s="172"/>
      <c r="P6" s="174"/>
    </row>
    <row r="7" spans="2:16" ht="15" thickBot="1">
      <c r="B7" s="187" t="s">
        <v>94</v>
      </c>
      <c r="C7" s="188"/>
      <c r="D7" s="188"/>
      <c r="E7" s="188"/>
      <c r="F7" s="188"/>
      <c r="G7" s="100"/>
      <c r="H7" s="182"/>
      <c r="I7" s="182"/>
      <c r="J7" s="182"/>
      <c r="K7" s="182"/>
      <c r="L7" s="182"/>
      <c r="M7" s="182"/>
      <c r="N7" s="100"/>
      <c r="O7" s="182"/>
      <c r="P7" s="71"/>
    </row>
    <row r="8" spans="2:16" ht="13.5">
      <c r="B8" s="114"/>
      <c r="C8" s="75" t="s">
        <v>1</v>
      </c>
      <c r="D8" s="69"/>
      <c r="E8" s="11"/>
      <c r="F8" s="11"/>
      <c r="G8" s="11"/>
      <c r="H8" s="11"/>
      <c r="I8" s="11"/>
      <c r="J8" s="11"/>
      <c r="K8" s="11"/>
      <c r="M8" s="11"/>
      <c r="N8" s="11"/>
      <c r="P8" s="95"/>
    </row>
    <row r="9" spans="2:16" ht="13.5">
      <c r="B9" s="114"/>
      <c r="C9" s="75" t="s">
        <v>184</v>
      </c>
      <c r="D9" s="69"/>
      <c r="E9" s="11"/>
      <c r="F9" s="11"/>
      <c r="G9" s="11"/>
      <c r="H9" s="11"/>
      <c r="I9" s="11"/>
      <c r="J9" s="11"/>
      <c r="K9" s="11"/>
      <c r="M9" s="11"/>
      <c r="N9" s="11"/>
      <c r="P9" s="95"/>
    </row>
    <row r="10" spans="2:16" ht="13.5">
      <c r="B10" s="114"/>
      <c r="C10" s="75" t="s">
        <v>108</v>
      </c>
      <c r="D10" s="69"/>
      <c r="E10" s="11"/>
      <c r="F10" s="11"/>
      <c r="G10" s="11"/>
      <c r="H10" s="11"/>
      <c r="I10" s="11"/>
      <c r="J10" s="11"/>
      <c r="K10" s="11"/>
      <c r="M10" s="11"/>
      <c r="N10" s="11"/>
      <c r="P10" s="95"/>
    </row>
    <row r="11" spans="2:16" ht="13.5">
      <c r="B11" s="114"/>
      <c r="C11" s="75" t="s">
        <v>109</v>
      </c>
      <c r="D11" s="69"/>
      <c r="E11" s="11"/>
      <c r="F11" s="11"/>
      <c r="G11" s="11"/>
      <c r="H11" s="11"/>
      <c r="I11" s="11"/>
      <c r="J11" s="11"/>
      <c r="K11" s="11"/>
      <c r="M11" s="11"/>
      <c r="N11" s="11"/>
      <c r="P11" s="95"/>
    </row>
    <row r="12" spans="2:12" ht="15" thickBot="1">
      <c r="B12" s="95"/>
      <c r="C12" s="11"/>
      <c r="D12" s="94"/>
      <c r="E12" s="69"/>
      <c r="F12" s="11"/>
      <c r="G12" s="95" t="s">
        <v>117</v>
      </c>
      <c r="H12" s="113" t="s">
        <v>189</v>
      </c>
      <c r="I12"/>
      <c r="J12"/>
      <c r="K12" s="113" t="s">
        <v>112</v>
      </c>
      <c r="L12" s="11"/>
    </row>
    <row r="13" spans="2:12" ht="15" thickBot="1">
      <c r="B13" s="95"/>
      <c r="C13" s="11"/>
      <c r="D13" s="94"/>
      <c r="E13" s="69"/>
      <c r="F13" s="95" t="s">
        <v>194</v>
      </c>
      <c r="G13" s="134">
        <v>0.97</v>
      </c>
      <c r="H13" s="134">
        <v>0.625</v>
      </c>
      <c r="I13" s="53"/>
      <c r="J13" s="54"/>
      <c r="K13" s="144" t="s">
        <v>191</v>
      </c>
      <c r="L13" s="140">
        <f>$E$57</f>
        <v>0.07157622281478813</v>
      </c>
    </row>
    <row r="14" spans="2:12" ht="15" thickBot="1">
      <c r="B14" s="95"/>
      <c r="C14" s="11"/>
      <c r="D14" s="94"/>
      <c r="E14" s="69"/>
      <c r="F14" s="95" t="s">
        <v>103</v>
      </c>
      <c r="G14" s="134">
        <v>0.35</v>
      </c>
      <c r="H14" s="135">
        <v>0.2</v>
      </c>
      <c r="I14" s="145"/>
      <c r="J14" s="17"/>
      <c r="K14" s="146" t="s">
        <v>111</v>
      </c>
      <c r="L14" s="137">
        <f>E62</f>
        <v>11395.43496375305</v>
      </c>
    </row>
    <row r="15" spans="2:15" ht="15" thickBot="1">
      <c r="B15" s="95"/>
      <c r="C15" s="11"/>
      <c r="D15" s="94"/>
      <c r="E15" s="69"/>
      <c r="F15" s="95" t="s">
        <v>116</v>
      </c>
      <c r="G15" s="136">
        <v>200</v>
      </c>
      <c r="H15" s="136">
        <v>100</v>
      </c>
      <c r="I15" s="145"/>
      <c r="J15" s="17"/>
      <c r="K15" s="146" t="s">
        <v>113</v>
      </c>
      <c r="L15" s="116">
        <f>$E$42*$L$14+$G$42</f>
        <v>7384.821744646298</v>
      </c>
      <c r="O15" s="11"/>
    </row>
    <row r="16" spans="2:12" ht="15" thickBot="1">
      <c r="B16" s="95"/>
      <c r="C16" s="11"/>
      <c r="D16" s="94"/>
      <c r="E16" s="69"/>
      <c r="F16" s="95" t="s">
        <v>186</v>
      </c>
      <c r="G16" s="133">
        <v>120</v>
      </c>
      <c r="H16" s="133">
        <v>40</v>
      </c>
      <c r="I16" s="145"/>
      <c r="J16" s="17"/>
      <c r="K16" s="146" t="s">
        <v>114</v>
      </c>
      <c r="L16" s="116">
        <f>$E$31+$F$31*$L$13</f>
        <v>105.68475543704237</v>
      </c>
    </row>
    <row r="17" spans="2:12" ht="15" thickBot="1">
      <c r="B17" s="95"/>
      <c r="C17" s="11"/>
      <c r="D17" s="94"/>
      <c r="E17" s="69"/>
      <c r="F17" s="95" t="s">
        <v>185</v>
      </c>
      <c r="G17" s="133">
        <v>200</v>
      </c>
      <c r="H17" s="133">
        <v>200</v>
      </c>
      <c r="I17" s="56"/>
      <c r="J17" s="57"/>
      <c r="K17" s="147" t="s">
        <v>115</v>
      </c>
      <c r="L17" s="116">
        <f>G18</f>
        <v>4300</v>
      </c>
    </row>
    <row r="18" spans="2:12" ht="15" thickBot="1">
      <c r="B18" s="95"/>
      <c r="C18" s="11"/>
      <c r="D18" s="94"/>
      <c r="E18" s="69"/>
      <c r="F18" s="95" t="s">
        <v>100</v>
      </c>
      <c r="G18" s="116">
        <v>4300</v>
      </c>
      <c r="H18" s="116">
        <v>60</v>
      </c>
      <c r="I18" s="142"/>
      <c r="J18" s="85"/>
      <c r="K18" s="143" t="s">
        <v>96</v>
      </c>
      <c r="L18" s="116">
        <f>L20-L21</f>
        <v>-395.07153633028975</v>
      </c>
    </row>
    <row r="19" spans="2:12" ht="15" thickBot="1">
      <c r="B19" s="95"/>
      <c r="C19" s="11"/>
      <c r="D19" s="94"/>
      <c r="E19" s="69"/>
      <c r="F19" s="95" t="s">
        <v>195</v>
      </c>
      <c r="G19" s="116">
        <v>3400</v>
      </c>
      <c r="H19" s="116">
        <v>91</v>
      </c>
      <c r="K19" s="95" t="s">
        <v>111</v>
      </c>
      <c r="L19" s="116">
        <f>SUM(L15:L18)</f>
        <v>11395.43496375305</v>
      </c>
    </row>
    <row r="20" spans="2:13" ht="15" thickBot="1">
      <c r="B20" s="95"/>
      <c r="C20" s="11"/>
      <c r="D20" s="94"/>
      <c r="E20" s="69"/>
      <c r="F20" s="95" t="s">
        <v>196</v>
      </c>
      <c r="G20" s="134">
        <v>0.3</v>
      </c>
      <c r="H20" s="136">
        <v>0.2</v>
      </c>
      <c r="I20"/>
      <c r="J20"/>
      <c r="K20" s="95" t="s">
        <v>97</v>
      </c>
      <c r="L20" s="116">
        <f>$G$27*($L$21)</f>
        <v>528.9284636697103</v>
      </c>
      <c r="M20" s="11" t="s">
        <v>187</v>
      </c>
    </row>
    <row r="21" spans="2:13" ht="15" thickBot="1">
      <c r="B21" s="95"/>
      <c r="C21" s="11"/>
      <c r="D21" s="94"/>
      <c r="E21" s="69"/>
      <c r="F21" s="95" t="s">
        <v>197</v>
      </c>
      <c r="G21" s="133">
        <v>10</v>
      </c>
      <c r="H21" s="133">
        <v>20</v>
      </c>
      <c r="I21"/>
      <c r="J21"/>
      <c r="K21" s="95" t="s">
        <v>98</v>
      </c>
      <c r="L21" s="116">
        <f>$G$26*($G$16+$G$17+$G$18)</f>
        <v>924</v>
      </c>
      <c r="M21" s="11" t="s">
        <v>188</v>
      </c>
    </row>
    <row r="22" spans="2:13" ht="15" thickBot="1">
      <c r="B22" s="95"/>
      <c r="C22" s="11"/>
      <c r="D22" s="94"/>
      <c r="E22" s="69"/>
      <c r="F22" s="95" t="s">
        <v>198</v>
      </c>
      <c r="G22" s="133">
        <v>400</v>
      </c>
      <c r="H22" s="133">
        <v>100</v>
      </c>
      <c r="I22"/>
      <c r="J22"/>
      <c r="K22" s="95" t="s">
        <v>102</v>
      </c>
      <c r="L22" s="116">
        <f>$G$14*$L$19</f>
        <v>3988.402237313567</v>
      </c>
      <c r="M22" s="11"/>
    </row>
    <row r="23" spans="2:13" ht="15" thickBot="1">
      <c r="B23" s="95"/>
      <c r="C23" s="11"/>
      <c r="D23" s="94"/>
      <c r="E23" s="69"/>
      <c r="F23" s="95" t="s">
        <v>183</v>
      </c>
      <c r="G23" s="116">
        <v>11500</v>
      </c>
      <c r="H23" s="116">
        <v>360</v>
      </c>
      <c r="I23"/>
      <c r="J23" s="11"/>
      <c r="K23" s="95" t="s">
        <v>101</v>
      </c>
      <c r="L23" s="116">
        <f>G18</f>
        <v>4300</v>
      </c>
      <c r="M23" s="11"/>
    </row>
    <row r="24" spans="2:13" ht="15" thickBot="1">
      <c r="B24" s="95"/>
      <c r="C24" s="11"/>
      <c r="D24" s="94"/>
      <c r="E24" s="69"/>
      <c r="F24" s="95" t="s">
        <v>110</v>
      </c>
      <c r="G24" s="141">
        <v>0.04</v>
      </c>
      <c r="H24" s="141">
        <v>0.05</v>
      </c>
      <c r="I24" s="142"/>
      <c r="J24" s="100"/>
      <c r="K24" s="143" t="s">
        <v>8</v>
      </c>
      <c r="L24" s="116">
        <f>L22-L23</f>
        <v>-311.5977626864328</v>
      </c>
      <c r="M24" s="11"/>
    </row>
    <row r="25" spans="2:14" ht="16.5" thickBot="1">
      <c r="B25" s="95"/>
      <c r="C25" s="11"/>
      <c r="D25" s="94"/>
      <c r="E25" s="69"/>
      <c r="F25" s="95" t="s">
        <v>99</v>
      </c>
      <c r="G25" s="141">
        <f>$H$24/$G$24</f>
        <v>1.25</v>
      </c>
      <c r="H25" s="141">
        <v>1</v>
      </c>
      <c r="L25" s="11"/>
      <c r="M25" s="11"/>
      <c r="N25" s="11"/>
    </row>
    <row r="26" spans="2:14" ht="16.5" thickBot="1">
      <c r="B26" s="95"/>
      <c r="C26" s="11"/>
      <c r="D26" s="94"/>
      <c r="E26" s="69"/>
      <c r="F26" s="95" t="s">
        <v>190</v>
      </c>
      <c r="G26" s="141">
        <v>0.2</v>
      </c>
      <c r="H26" s="141">
        <v>0.8</v>
      </c>
      <c r="I26" s="11"/>
      <c r="L26" s="11"/>
      <c r="M26" s="11"/>
      <c r="N26" s="11"/>
    </row>
    <row r="27" spans="2:14" ht="16.5" thickBot="1">
      <c r="B27" s="95"/>
      <c r="C27" s="11"/>
      <c r="D27" s="94"/>
      <c r="E27" s="69"/>
      <c r="F27" s="95" t="s">
        <v>192</v>
      </c>
      <c r="G27" s="141">
        <f>(1/($H$24/$G$24))^2.5</f>
        <v>0.5724334022399462</v>
      </c>
      <c r="H27" s="141">
        <f>H25</f>
        <v>1</v>
      </c>
      <c r="I27" s="11"/>
      <c r="L27" s="11"/>
      <c r="M27" s="11"/>
      <c r="N27" s="11"/>
    </row>
    <row r="28" spans="2:14" ht="16.5" thickBot="1">
      <c r="B28" s="95" t="s">
        <v>199</v>
      </c>
      <c r="C28" s="102" t="s">
        <v>200</v>
      </c>
      <c r="D28" s="69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6.5" thickBot="1">
      <c r="B29" s="95"/>
      <c r="C29" s="94">
        <v>1</v>
      </c>
      <c r="D29" s="99" t="s">
        <v>201</v>
      </c>
      <c r="E29" s="100">
        <f>G13</f>
        <v>0.97</v>
      </c>
      <c r="F29" s="100" t="s">
        <v>202</v>
      </c>
      <c r="G29" s="103">
        <f>$G$15</f>
        <v>200</v>
      </c>
      <c r="H29" s="11"/>
      <c r="I29" s="11"/>
      <c r="J29" s="11"/>
      <c r="K29" s="11"/>
      <c r="L29" s="11"/>
      <c r="M29" s="11"/>
      <c r="N29" s="11"/>
    </row>
    <row r="30" spans="2:14" ht="16.5" thickBot="1">
      <c r="B30" s="95"/>
      <c r="C30" s="94">
        <v>2</v>
      </c>
      <c r="D30" s="99" t="s">
        <v>203</v>
      </c>
      <c r="E30" s="112">
        <f>G14</f>
        <v>0.35</v>
      </c>
      <c r="F30" s="100" t="s">
        <v>204</v>
      </c>
      <c r="G30" s="104"/>
      <c r="H30" s="11"/>
      <c r="I30" s="11"/>
      <c r="J30" s="11"/>
      <c r="K30" s="11"/>
      <c r="L30" s="11"/>
      <c r="M30" s="11"/>
      <c r="N30" s="11"/>
    </row>
    <row r="31" spans="2:14" ht="16.5" thickBot="1">
      <c r="B31" s="95"/>
      <c r="C31" s="94">
        <v>3</v>
      </c>
      <c r="D31" s="99" t="s">
        <v>205</v>
      </c>
      <c r="E31" s="121">
        <f>G16</f>
        <v>120</v>
      </c>
      <c r="F31" s="100">
        <f>-G17</f>
        <v>-200</v>
      </c>
      <c r="G31" s="104" t="s">
        <v>206</v>
      </c>
      <c r="H31" s="11"/>
      <c r="I31" s="11"/>
      <c r="J31" s="11"/>
      <c r="K31" s="11"/>
      <c r="L31" s="11"/>
      <c r="M31" s="11"/>
      <c r="N31" s="11"/>
    </row>
    <row r="32" spans="2:14" ht="16.5" thickBot="1">
      <c r="B32" s="95"/>
      <c r="C32" s="94">
        <v>4</v>
      </c>
      <c r="D32" s="99" t="s">
        <v>207</v>
      </c>
      <c r="E32" s="156">
        <f>G18</f>
        <v>4300</v>
      </c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6.5" thickBot="1">
      <c r="B33" s="95"/>
      <c r="C33" s="94">
        <v>5</v>
      </c>
      <c r="D33" s="99" t="s">
        <v>208</v>
      </c>
      <c r="E33" s="156">
        <f>G19</f>
        <v>3400</v>
      </c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6.5" thickBot="1">
      <c r="B34" s="95"/>
      <c r="C34" s="94">
        <v>6</v>
      </c>
      <c r="D34" s="99" t="s">
        <v>209</v>
      </c>
      <c r="E34" s="105">
        <f>G20</f>
        <v>0.3</v>
      </c>
      <c r="F34" s="104" t="s">
        <v>204</v>
      </c>
      <c r="G34" s="11"/>
      <c r="H34" s="11"/>
      <c r="I34" s="11"/>
      <c r="J34" s="11"/>
      <c r="K34" s="11"/>
      <c r="L34" s="11"/>
      <c r="M34" s="11"/>
      <c r="N34" s="11"/>
    </row>
    <row r="35" spans="2:14" ht="16.5" thickBot="1">
      <c r="B35" s="95"/>
      <c r="C35" s="94">
        <v>7</v>
      </c>
      <c r="D35" s="99" t="s">
        <v>210</v>
      </c>
      <c r="E35" s="120">
        <f>G21</f>
        <v>10</v>
      </c>
      <c r="F35" s="100">
        <f>-G22</f>
        <v>-400</v>
      </c>
      <c r="G35" s="104" t="s">
        <v>206</v>
      </c>
      <c r="H35" s="11"/>
      <c r="I35" s="11"/>
      <c r="J35" s="11"/>
      <c r="K35" s="11"/>
      <c r="L35" s="11"/>
      <c r="M35" s="11"/>
      <c r="N35" s="11"/>
    </row>
    <row r="36" spans="2:14" ht="16.5" thickBot="1">
      <c r="B36" s="95"/>
      <c r="C36" s="94">
        <v>8</v>
      </c>
      <c r="D36" s="99" t="s">
        <v>211</v>
      </c>
      <c r="E36" s="126" t="s">
        <v>104</v>
      </c>
      <c r="F36" s="104"/>
      <c r="G36" s="11"/>
      <c r="H36" s="11"/>
      <c r="I36" s="11"/>
      <c r="J36" s="11"/>
      <c r="K36" s="11"/>
      <c r="L36" s="11"/>
      <c r="M36" s="11"/>
      <c r="N36" s="11"/>
    </row>
    <row r="37" spans="2:14" ht="16.5" thickBot="1">
      <c r="B37" s="95"/>
      <c r="C37" s="94">
        <v>9</v>
      </c>
      <c r="D37" s="148" t="s">
        <v>208</v>
      </c>
      <c r="E37" s="149" t="s">
        <v>212</v>
      </c>
      <c r="F37" s="11"/>
      <c r="G37" s="11"/>
      <c r="H37" s="11"/>
      <c r="I37" s="11"/>
      <c r="J37" s="11"/>
      <c r="K37" s="11"/>
      <c r="L37" s="11"/>
      <c r="M37" s="11"/>
      <c r="N37" s="11"/>
    </row>
    <row r="38" spans="2:14" ht="16.5" thickBot="1">
      <c r="B38" s="95"/>
      <c r="C38" s="94">
        <v>10</v>
      </c>
      <c r="D38" s="99" t="s">
        <v>213</v>
      </c>
      <c r="E38" s="98" t="s">
        <v>214</v>
      </c>
      <c r="F38" s="11"/>
      <c r="G38" s="11"/>
      <c r="H38" s="11"/>
      <c r="I38" s="11"/>
      <c r="J38" s="11"/>
      <c r="K38" s="11"/>
      <c r="L38" s="11"/>
      <c r="M38" s="11"/>
      <c r="N38" s="11"/>
    </row>
    <row r="39" spans="2:14" ht="15.75">
      <c r="B39" s="95"/>
      <c r="C39" s="94"/>
      <c r="D39" s="69" t="s">
        <v>173</v>
      </c>
      <c r="E39" s="69" t="s">
        <v>204</v>
      </c>
      <c r="F39" s="62">
        <f>-E30</f>
        <v>-0.35</v>
      </c>
      <c r="G39" s="11" t="s">
        <v>204</v>
      </c>
      <c r="H39" s="11"/>
      <c r="I39" s="11"/>
      <c r="J39" s="11"/>
      <c r="K39" s="11"/>
      <c r="L39" s="11"/>
      <c r="M39" s="11"/>
      <c r="N39" s="11"/>
    </row>
    <row r="40" spans="2:14" ht="16.5" thickBot="1">
      <c r="B40" s="95"/>
      <c r="C40" s="94"/>
      <c r="D40" s="69" t="s">
        <v>173</v>
      </c>
      <c r="E40" s="117">
        <f>1+F39</f>
        <v>0.65</v>
      </c>
      <c r="F40" s="11" t="s">
        <v>204</v>
      </c>
      <c r="G40" s="11"/>
      <c r="H40" s="11"/>
      <c r="I40" s="11"/>
      <c r="J40" s="11"/>
      <c r="K40" s="11"/>
      <c r="L40" s="11"/>
      <c r="M40" s="11"/>
      <c r="N40" s="11"/>
    </row>
    <row r="41" spans="2:14" ht="16.5" thickBot="1">
      <c r="B41" s="95"/>
      <c r="C41" s="94">
        <v>11</v>
      </c>
      <c r="D41" s="101" t="s">
        <v>201</v>
      </c>
      <c r="E41" s="112">
        <f>E40</f>
        <v>0.65</v>
      </c>
      <c r="F41" s="111">
        <f>E29</f>
        <v>0.97</v>
      </c>
      <c r="G41" s="100" t="s">
        <v>179</v>
      </c>
      <c r="H41" s="103">
        <f>G29</f>
        <v>200</v>
      </c>
      <c r="I41" s="11"/>
      <c r="J41" s="11"/>
      <c r="K41" s="11"/>
      <c r="L41" s="11"/>
      <c r="M41" s="11"/>
      <c r="N41" s="11"/>
    </row>
    <row r="42" spans="2:14" ht="16.5" thickBot="1">
      <c r="B42" s="95"/>
      <c r="C42" s="94"/>
      <c r="D42" s="69" t="s">
        <v>173</v>
      </c>
      <c r="E42" s="117">
        <f>E29*E40</f>
        <v>0.6305</v>
      </c>
      <c r="F42" s="11" t="s">
        <v>174</v>
      </c>
      <c r="G42" s="115">
        <f>$G$15</f>
        <v>200</v>
      </c>
      <c r="H42" s="11"/>
      <c r="I42" s="11"/>
      <c r="J42" s="11"/>
      <c r="K42" s="11"/>
      <c r="L42" s="11"/>
      <c r="M42" s="11"/>
      <c r="N42" s="11"/>
    </row>
    <row r="43" spans="2:14" ht="15" thickBot="1">
      <c r="B43" s="95"/>
      <c r="C43" s="94">
        <v>12</v>
      </c>
      <c r="D43" s="152" t="s">
        <v>211</v>
      </c>
      <c r="E43" s="153" t="s">
        <v>104</v>
      </c>
      <c r="F43" s="73"/>
      <c r="H43" s="97" t="s">
        <v>107</v>
      </c>
      <c r="I43" s="97"/>
      <c r="J43" s="97" t="s">
        <v>115</v>
      </c>
      <c r="K43" s="97" t="s">
        <v>105</v>
      </c>
      <c r="L43" s="97" t="s">
        <v>106</v>
      </c>
      <c r="M43" s="11"/>
      <c r="N43" s="11"/>
    </row>
    <row r="44" spans="2:14" ht="15" thickBot="1">
      <c r="B44" s="95"/>
      <c r="C44" s="94"/>
      <c r="D44" s="99" t="s">
        <v>211</v>
      </c>
      <c r="E44" s="118">
        <f>E42</f>
        <v>0.6305</v>
      </c>
      <c r="F44" s="100" t="s">
        <v>174</v>
      </c>
      <c r="G44" s="110">
        <f>G42</f>
        <v>200</v>
      </c>
      <c r="H44" s="150">
        <f>E31</f>
        <v>120</v>
      </c>
      <c r="I44" s="151">
        <f>F31</f>
        <v>-200</v>
      </c>
      <c r="J44" s="179">
        <f>E32</f>
        <v>4300</v>
      </c>
      <c r="K44" s="154">
        <f>L20</f>
        <v>528.9284636697103</v>
      </c>
      <c r="L44" s="158">
        <f>-L21</f>
        <v>-924</v>
      </c>
      <c r="M44" s="11"/>
      <c r="N44" s="11"/>
    </row>
    <row r="45" spans="2:14" ht="13.5">
      <c r="B45" s="95"/>
      <c r="C45" s="94"/>
      <c r="D45" s="69" t="s">
        <v>173</v>
      </c>
      <c r="E45" s="117">
        <f>E44</f>
        <v>0.6305</v>
      </c>
      <c r="F45" s="11" t="s">
        <v>176</v>
      </c>
      <c r="G45" s="62">
        <f>I44</f>
        <v>-200</v>
      </c>
      <c r="H45" s="11" t="s">
        <v>177</v>
      </c>
      <c r="I45" s="177">
        <f>G44+H44+J44</f>
        <v>4620</v>
      </c>
      <c r="J45" s="11"/>
      <c r="K45" s="11"/>
      <c r="L45" s="11"/>
      <c r="M45" s="11"/>
      <c r="N45" s="11"/>
    </row>
    <row r="46" spans="2:14" ht="15" thickBot="1">
      <c r="B46" s="95"/>
      <c r="C46" s="94"/>
      <c r="D46" s="119">
        <f>1-E45</f>
        <v>0.36950000000000005</v>
      </c>
      <c r="E46" s="11" t="s">
        <v>211</v>
      </c>
      <c r="F46" s="109">
        <f>G44+H44+J44+K44+L44</f>
        <v>4224.92846366971</v>
      </c>
      <c r="G46" s="155">
        <f>G45</f>
        <v>-200</v>
      </c>
      <c r="H46" s="11"/>
      <c r="I46" s="11"/>
      <c r="J46" s="11"/>
      <c r="K46" s="157"/>
      <c r="L46" s="11"/>
      <c r="M46" s="11"/>
      <c r="N46" s="11"/>
    </row>
    <row r="47" spans="2:14" ht="15" thickBot="1">
      <c r="B47" s="95"/>
      <c r="C47" s="94">
        <v>13</v>
      </c>
      <c r="D47" s="125" t="s">
        <v>181</v>
      </c>
      <c r="E47" s="159">
        <f>F46/D46</f>
        <v>11434.177168253613</v>
      </c>
      <c r="F47" s="129">
        <f>G46/D46</f>
        <v>-541.2719891745602</v>
      </c>
      <c r="G47" s="128"/>
      <c r="H47" s="11"/>
      <c r="I47" s="11"/>
      <c r="J47" s="11"/>
      <c r="K47" s="11"/>
      <c r="L47" s="11"/>
      <c r="M47" s="11"/>
      <c r="N47" s="11"/>
    </row>
    <row r="48" spans="2:14" ht="13.5">
      <c r="B48" s="95" t="s">
        <v>178</v>
      </c>
      <c r="C48" s="102" t="s">
        <v>9</v>
      </c>
      <c r="D48" s="69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4" ht="15" thickBot="1">
      <c r="B49" s="95"/>
      <c r="C49" s="11"/>
      <c r="D49" s="94" t="s">
        <v>10</v>
      </c>
      <c r="E49" s="83" t="s">
        <v>11</v>
      </c>
      <c r="F49" s="11"/>
      <c r="G49" s="11"/>
      <c r="H49" s="11"/>
      <c r="I49" s="11"/>
      <c r="J49" s="11"/>
      <c r="K49" s="11"/>
      <c r="L49" s="11"/>
      <c r="M49" s="11"/>
      <c r="N49" s="11"/>
    </row>
    <row r="50" spans="2:14" ht="15" thickBot="1">
      <c r="B50" s="95"/>
      <c r="C50" s="94">
        <v>14</v>
      </c>
      <c r="D50" s="108">
        <f>E33</f>
        <v>3400</v>
      </c>
      <c r="E50" s="105">
        <f>E34</f>
        <v>0.3</v>
      </c>
      <c r="F50" s="100" t="s">
        <v>12</v>
      </c>
      <c r="G50" s="107">
        <f>E35</f>
        <v>10</v>
      </c>
      <c r="H50" s="100">
        <f>F35</f>
        <v>-400</v>
      </c>
      <c r="I50" s="104" t="s">
        <v>13</v>
      </c>
      <c r="J50" s="11"/>
      <c r="K50" s="11"/>
      <c r="L50" s="11"/>
      <c r="M50" s="11"/>
      <c r="N50" s="11"/>
    </row>
    <row r="51" spans="2:14" ht="15" thickBot="1">
      <c r="B51" s="95"/>
      <c r="C51" s="94"/>
      <c r="D51" s="96">
        <f>E50</f>
        <v>0.3</v>
      </c>
      <c r="E51" s="11" t="s">
        <v>14</v>
      </c>
      <c r="F51" s="177">
        <f>D50-G50</f>
        <v>3390</v>
      </c>
      <c r="G51" s="11" t="s">
        <v>175</v>
      </c>
      <c r="H51" s="11">
        <f>-H50</f>
        <v>400</v>
      </c>
      <c r="I51" s="11" t="s">
        <v>206</v>
      </c>
      <c r="J51" s="11"/>
      <c r="K51" s="11"/>
      <c r="L51" s="11"/>
      <c r="M51" s="11"/>
      <c r="N51" s="11"/>
    </row>
    <row r="52" spans="2:14" ht="15" thickBot="1">
      <c r="B52" s="95"/>
      <c r="C52" s="94">
        <v>15</v>
      </c>
      <c r="D52" s="125" t="s">
        <v>182</v>
      </c>
      <c r="E52" s="160">
        <f>F51/D51</f>
        <v>11300</v>
      </c>
      <c r="F52" s="127">
        <f>H51/D51</f>
        <v>1333.3333333333335</v>
      </c>
      <c r="G52" s="128"/>
      <c r="I52" s="11"/>
      <c r="J52" s="11"/>
      <c r="K52" s="11"/>
      <c r="L52" s="11"/>
      <c r="M52" s="11"/>
      <c r="N52" s="11"/>
    </row>
    <row r="53" spans="2:14" ht="15" thickBot="1">
      <c r="B53" s="95" t="s">
        <v>16</v>
      </c>
      <c r="C53" s="102" t="s">
        <v>33</v>
      </c>
      <c r="D53" s="69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5" thickBot="1">
      <c r="B54" s="95"/>
      <c r="C54" s="94">
        <v>16</v>
      </c>
      <c r="D54" s="106" t="s">
        <v>17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2:14" ht="15" thickBot="1">
      <c r="B55" s="95"/>
      <c r="C55" s="94">
        <v>17</v>
      </c>
      <c r="D55" s="178">
        <f>E47</f>
        <v>11434.177168253613</v>
      </c>
      <c r="E55" s="105">
        <f>F47</f>
        <v>-541.2719891745602</v>
      </c>
      <c r="F55" s="100" t="s">
        <v>180</v>
      </c>
      <c r="G55" s="161">
        <f>E52</f>
        <v>11300</v>
      </c>
      <c r="H55" s="70" t="s">
        <v>18</v>
      </c>
      <c r="I55" s="161">
        <f>F52</f>
        <v>1333.3333333333335</v>
      </c>
      <c r="J55" s="104" t="s">
        <v>19</v>
      </c>
      <c r="K55" s="11"/>
      <c r="L55" s="11"/>
      <c r="M55" s="11"/>
      <c r="N55" s="11"/>
    </row>
    <row r="56" spans="2:14" ht="15" thickBot="1">
      <c r="B56" s="95"/>
      <c r="C56" s="94">
        <v>18</v>
      </c>
      <c r="D56" s="178">
        <f>I55+(-E55)</f>
        <v>1874.6053225078936</v>
      </c>
      <c r="E56" s="100" t="s">
        <v>20</v>
      </c>
      <c r="F56" s="180">
        <f>D55-G55</f>
        <v>134.17716825361276</v>
      </c>
      <c r="G56" s="11"/>
      <c r="H56" s="11"/>
      <c r="I56" s="11"/>
      <c r="J56" s="11"/>
      <c r="K56" s="11"/>
      <c r="L56" s="11"/>
      <c r="M56" s="11"/>
      <c r="N56" s="11"/>
    </row>
    <row r="57" spans="2:14" ht="15" thickBot="1">
      <c r="B57" s="95"/>
      <c r="C57" s="94">
        <v>19</v>
      </c>
      <c r="D57" s="99" t="s">
        <v>21</v>
      </c>
      <c r="E57" s="130">
        <f>F56/D56</f>
        <v>0.07157622281478813</v>
      </c>
      <c r="F57" s="181" t="s">
        <v>3</v>
      </c>
      <c r="G57" s="182"/>
      <c r="H57" s="126"/>
      <c r="I57" s="126"/>
      <c r="J57" s="126"/>
      <c r="K57" s="126"/>
      <c r="L57" s="126"/>
      <c r="M57" s="98"/>
      <c r="N57" s="11"/>
    </row>
    <row r="58" spans="2:14" ht="13.5">
      <c r="B58" s="95" t="s">
        <v>22</v>
      </c>
      <c r="C58" s="102" t="s">
        <v>4</v>
      </c>
      <c r="D58" s="69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2:14" ht="15" thickBot="1">
      <c r="B59" s="95"/>
      <c r="C59" s="94"/>
      <c r="D59" s="83" t="s">
        <v>5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2:14" ht="15" thickBot="1">
      <c r="B60" s="95"/>
      <c r="C60" s="94">
        <v>20</v>
      </c>
      <c r="D60" s="99" t="s">
        <v>211</v>
      </c>
      <c r="E60" s="161">
        <f>E52</f>
        <v>11300</v>
      </c>
      <c r="F60" s="123">
        <f>F52</f>
        <v>1333.3333333333335</v>
      </c>
      <c r="G60" s="131">
        <f>E57</f>
        <v>0.07157622281478813</v>
      </c>
      <c r="I60" s="11"/>
      <c r="J60" s="11"/>
      <c r="K60" s="11"/>
      <c r="L60" s="11"/>
      <c r="M60" s="11"/>
      <c r="N60" s="11"/>
    </row>
    <row r="61" spans="2:14" ht="15" thickBot="1">
      <c r="B61" s="95"/>
      <c r="C61" s="94"/>
      <c r="D61" s="69" t="s">
        <v>173</v>
      </c>
      <c r="E61" s="177">
        <f>E60</f>
        <v>11300</v>
      </c>
      <c r="F61" s="11" t="s">
        <v>15</v>
      </c>
      <c r="G61" s="115">
        <f>F60*G60</f>
        <v>95.43496375305085</v>
      </c>
      <c r="H61" s="11"/>
      <c r="I61" s="11"/>
      <c r="J61" s="11"/>
      <c r="K61" s="11"/>
      <c r="L61" s="11"/>
      <c r="M61" s="11"/>
      <c r="N61" s="11"/>
    </row>
    <row r="62" spans="2:14" ht="15" thickBot="1">
      <c r="B62" s="95"/>
      <c r="C62" s="94">
        <v>21</v>
      </c>
      <c r="D62" s="152" t="s">
        <v>211</v>
      </c>
      <c r="E62" s="189">
        <f>E61+G61</f>
        <v>11395.43496375305</v>
      </c>
      <c r="F62" s="11"/>
      <c r="G62" s="11"/>
      <c r="H62" s="11"/>
      <c r="I62" s="11"/>
      <c r="J62" s="11"/>
      <c r="K62" s="11"/>
      <c r="L62" s="11"/>
      <c r="M62" s="11"/>
      <c r="N62" s="11"/>
    </row>
    <row r="63" spans="2:16" ht="15" thickBot="1">
      <c r="B63" s="181" t="s">
        <v>218</v>
      </c>
      <c r="C63" s="100"/>
      <c r="D63" s="100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71"/>
    </row>
    <row r="64" spans="1:4" ht="13.5">
      <c r="A64" s="176"/>
      <c r="B64" s="75" t="s">
        <v>219</v>
      </c>
      <c r="C64" s="75"/>
      <c r="D64" s="75"/>
    </row>
    <row r="65" spans="1:4" ht="13.5">
      <c r="A65" s="176"/>
      <c r="B65" s="75" t="s">
        <v>0</v>
      </c>
      <c r="C65" s="75"/>
      <c r="D65" s="75"/>
    </row>
    <row r="66" spans="1:4" ht="13.5">
      <c r="A66" s="176"/>
      <c r="B66" s="75" t="s">
        <v>2</v>
      </c>
      <c r="C66" s="75"/>
      <c r="D66" s="75"/>
    </row>
    <row r="67" spans="1:4" ht="15" thickBot="1">
      <c r="A67" s="176"/>
      <c r="B67" s="75"/>
      <c r="C67" s="75"/>
      <c r="D67" s="75"/>
    </row>
    <row r="68" spans="1:6" ht="15" thickBot="1">
      <c r="A68" s="176"/>
      <c r="B68" s="75"/>
      <c r="C68" s="64" t="s">
        <v>73</v>
      </c>
      <c r="D68" s="64" t="s">
        <v>23</v>
      </c>
      <c r="E68" s="64" t="s">
        <v>24</v>
      </c>
      <c r="F68" s="64" t="s">
        <v>29</v>
      </c>
    </row>
    <row r="69" spans="1:6" ht="15" thickBot="1">
      <c r="A69" s="176"/>
      <c r="B69" s="12">
        <v>1959</v>
      </c>
      <c r="C69" s="26">
        <v>2319</v>
      </c>
      <c r="D69" s="26">
        <v>272.9</v>
      </c>
      <c r="E69" s="65">
        <f>D69/(C70-C69)</f>
        <v>4.729636048526878</v>
      </c>
      <c r="F69" s="28">
        <f>(D69/C69)/E69</f>
        <v>0.02488141440275973</v>
      </c>
    </row>
    <row r="70" spans="1:6" ht="13.5">
      <c r="A70" s="176"/>
      <c r="B70" s="12">
        <v>1960</v>
      </c>
      <c r="C70" s="190">
        <v>2376.7</v>
      </c>
      <c r="D70" s="190">
        <v>272.8</v>
      </c>
      <c r="E70" s="191">
        <f aca="true" t="shared" si="0" ref="E70:E111">D70/(C71-C70)</f>
        <v>4.933092224231449</v>
      </c>
      <c r="F70" s="192">
        <f aca="true" t="shared" si="1" ref="F70:F111">(D70/C70)/E70</f>
        <v>0.023267555854756674</v>
      </c>
    </row>
    <row r="71" spans="1:6" ht="0.75" customHeight="1">
      <c r="A71" s="176"/>
      <c r="B71" s="12">
        <v>1961</v>
      </c>
      <c r="C71" s="193">
        <v>2432</v>
      </c>
      <c r="D71" s="193">
        <v>271</v>
      </c>
      <c r="E71" s="194">
        <f t="shared" si="0"/>
        <v>1.844792375765826</v>
      </c>
      <c r="F71" s="195">
        <f t="shared" si="1"/>
        <v>0.06040296052631583</v>
      </c>
    </row>
    <row r="72" spans="1:6" ht="0.75" customHeight="1">
      <c r="A72" s="176"/>
      <c r="B72" s="12">
        <v>1962</v>
      </c>
      <c r="C72" s="193">
        <v>2578.9</v>
      </c>
      <c r="D72" s="193">
        <v>305.3</v>
      </c>
      <c r="E72" s="194">
        <f t="shared" si="0"/>
        <v>2.738116591928251</v>
      </c>
      <c r="F72" s="195">
        <f t="shared" si="1"/>
        <v>0.04323548799875916</v>
      </c>
    </row>
    <row r="73" spans="1:6" ht="0.75" customHeight="1">
      <c r="A73" s="176"/>
      <c r="B73" s="12">
        <v>1963</v>
      </c>
      <c r="C73" s="193">
        <v>2690.4</v>
      </c>
      <c r="D73" s="193">
        <v>325.7</v>
      </c>
      <c r="E73" s="194">
        <f t="shared" si="0"/>
        <v>2.0864830237027556</v>
      </c>
      <c r="F73" s="195">
        <f t="shared" si="1"/>
        <v>0.05802111210228959</v>
      </c>
    </row>
    <row r="74" spans="1:6" ht="0.75" customHeight="1">
      <c r="A74" s="176"/>
      <c r="B74" s="12">
        <v>1964</v>
      </c>
      <c r="C74" s="193">
        <v>2846.5</v>
      </c>
      <c r="D74" s="193">
        <v>352.6</v>
      </c>
      <c r="E74" s="194">
        <f t="shared" si="0"/>
        <v>1.9373626373626376</v>
      </c>
      <c r="F74" s="195">
        <f t="shared" si="1"/>
        <v>0.06393816968206568</v>
      </c>
    </row>
    <row r="75" spans="1:6" ht="0.75" customHeight="1">
      <c r="A75" s="176"/>
      <c r="B75" s="12">
        <v>1965</v>
      </c>
      <c r="C75" s="193">
        <v>3028.5</v>
      </c>
      <c r="D75" s="193">
        <v>402</v>
      </c>
      <c r="E75" s="194">
        <f t="shared" si="0"/>
        <v>2.020100502512563</v>
      </c>
      <c r="F75" s="195">
        <f t="shared" si="1"/>
        <v>0.06570909691266304</v>
      </c>
    </row>
    <row r="76" spans="1:6" ht="0.75" customHeight="1">
      <c r="A76" s="176"/>
      <c r="B76" s="12">
        <v>1966</v>
      </c>
      <c r="C76" s="193">
        <v>3227.5</v>
      </c>
      <c r="D76" s="193">
        <v>437.3</v>
      </c>
      <c r="E76" s="194">
        <f t="shared" si="0"/>
        <v>5.412128712871275</v>
      </c>
      <c r="F76" s="195">
        <f t="shared" si="1"/>
        <v>0.025034856700232436</v>
      </c>
    </row>
    <row r="77" spans="1:6" ht="0.75" customHeight="1">
      <c r="A77" s="176"/>
      <c r="B77" s="12">
        <v>1967</v>
      </c>
      <c r="C77" s="193">
        <v>3308.3</v>
      </c>
      <c r="D77" s="193">
        <v>417.2</v>
      </c>
      <c r="E77" s="194">
        <f t="shared" si="0"/>
        <v>2.6438529784537432</v>
      </c>
      <c r="F77" s="195">
        <f t="shared" si="1"/>
        <v>0.04769821358401588</v>
      </c>
    </row>
    <row r="78" spans="1:6" ht="0.75" customHeight="1">
      <c r="A78" s="176"/>
      <c r="B78" s="12">
        <v>1968</v>
      </c>
      <c r="C78" s="193">
        <v>3466.1</v>
      </c>
      <c r="D78" s="193">
        <v>441.3</v>
      </c>
      <c r="E78" s="194">
        <f t="shared" si="0"/>
        <v>4.190883190883183</v>
      </c>
      <c r="F78" s="195">
        <f t="shared" si="1"/>
        <v>0.030379965955973625</v>
      </c>
    </row>
    <row r="79" spans="1:6" ht="0.75" customHeight="1">
      <c r="A79" s="176"/>
      <c r="B79" s="12">
        <v>1969</v>
      </c>
      <c r="C79" s="193">
        <v>3571.4</v>
      </c>
      <c r="D79" s="193">
        <v>466.9</v>
      </c>
      <c r="E79" s="194">
        <f t="shared" si="0"/>
        <v>70.74242424242522</v>
      </c>
      <c r="F79" s="195">
        <f t="shared" si="1"/>
        <v>0.0018480147841182474</v>
      </c>
    </row>
    <row r="80" spans="1:6" ht="0.75" customHeight="1">
      <c r="A80" s="176"/>
      <c r="B80" s="12">
        <v>1970</v>
      </c>
      <c r="C80" s="193">
        <v>3578</v>
      </c>
      <c r="D80" s="193">
        <v>436.2</v>
      </c>
      <c r="E80" s="194">
        <f t="shared" si="0"/>
        <v>3.6441102756892283</v>
      </c>
      <c r="F80" s="195">
        <f t="shared" si="1"/>
        <v>0.03345444382336496</v>
      </c>
    </row>
    <row r="81" spans="1:6" ht="15" thickBot="1">
      <c r="A81" s="176"/>
      <c r="B81" s="12">
        <v>1971</v>
      </c>
      <c r="C81" s="196">
        <v>3697.7</v>
      </c>
      <c r="D81" s="196">
        <v>485.8</v>
      </c>
      <c r="E81" s="197">
        <f t="shared" si="0"/>
        <v>2.4205281514698522</v>
      </c>
      <c r="F81" s="198">
        <f t="shared" si="1"/>
        <v>0.05427698298942594</v>
      </c>
    </row>
    <row r="82" spans="1:6" ht="15" thickBot="1">
      <c r="A82" s="176"/>
      <c r="B82" s="12">
        <v>1972</v>
      </c>
      <c r="C82" s="26">
        <v>3898.4</v>
      </c>
      <c r="D82" s="26">
        <v>543</v>
      </c>
      <c r="E82" s="65">
        <f t="shared" si="0"/>
        <v>2.413333333333338</v>
      </c>
      <c r="F82" s="28">
        <f t="shared" si="1"/>
        <v>0.057715986045557034</v>
      </c>
    </row>
    <row r="83" spans="1:6" ht="15" thickBot="1">
      <c r="A83" s="176"/>
      <c r="B83" s="12">
        <v>1973</v>
      </c>
      <c r="C83" s="26">
        <v>4123.4</v>
      </c>
      <c r="D83" s="26">
        <v>606.5</v>
      </c>
      <c r="E83" s="65">
        <f t="shared" si="0"/>
        <v>-24.85655737704955</v>
      </c>
      <c r="F83" s="28">
        <f t="shared" si="1"/>
        <v>-0.005917446767230838</v>
      </c>
    </row>
    <row r="84" spans="1:6" ht="15" thickBot="1">
      <c r="A84" s="176"/>
      <c r="B84" s="12">
        <v>1974</v>
      </c>
      <c r="C84" s="26">
        <v>4099</v>
      </c>
      <c r="D84" s="26">
        <v>561.7</v>
      </c>
      <c r="E84" s="65">
        <f t="shared" si="0"/>
        <v>-38.47260273972627</v>
      </c>
      <c r="F84" s="28">
        <f t="shared" si="1"/>
        <v>-0.003561844352281022</v>
      </c>
    </row>
    <row r="85" spans="1:6" ht="15" thickBot="1">
      <c r="A85" s="176"/>
      <c r="B85" s="12">
        <v>1975</v>
      </c>
      <c r="C85" s="26">
        <v>4084.4</v>
      </c>
      <c r="D85" s="26">
        <v>462.2</v>
      </c>
      <c r="E85" s="65">
        <f t="shared" si="0"/>
        <v>2.0334359876814805</v>
      </c>
      <c r="F85" s="28">
        <f t="shared" si="1"/>
        <v>0.05565076877876793</v>
      </c>
    </row>
    <row r="86" spans="1:6" ht="15" thickBot="1">
      <c r="A86" s="176"/>
      <c r="B86" s="12">
        <v>1976</v>
      </c>
      <c r="C86" s="26">
        <v>4311.7</v>
      </c>
      <c r="D86" s="26">
        <v>555.5</v>
      </c>
      <c r="E86" s="65">
        <f t="shared" si="0"/>
        <v>2.776111944027981</v>
      </c>
      <c r="F86" s="28">
        <f t="shared" si="1"/>
        <v>0.046408609133288585</v>
      </c>
    </row>
    <row r="87" spans="1:6" ht="15" thickBot="1">
      <c r="A87" s="176"/>
      <c r="B87" s="12">
        <v>1977</v>
      </c>
      <c r="C87" s="26">
        <v>4511.8</v>
      </c>
      <c r="D87" s="26">
        <v>639.4</v>
      </c>
      <c r="E87" s="65">
        <f t="shared" si="0"/>
        <v>2.569935691318326</v>
      </c>
      <c r="F87" s="28">
        <f t="shared" si="1"/>
        <v>0.0551442883106521</v>
      </c>
    </row>
    <row r="88" spans="1:6" ht="15" thickBot="1">
      <c r="A88" s="176"/>
      <c r="B88" s="12">
        <v>1978</v>
      </c>
      <c r="C88" s="26">
        <v>4760.6</v>
      </c>
      <c r="D88" s="26">
        <v>713</v>
      </c>
      <c r="E88" s="65">
        <f t="shared" si="0"/>
        <v>4.706270627062707</v>
      </c>
      <c r="F88" s="28">
        <f t="shared" si="1"/>
        <v>0.031823719699197575</v>
      </c>
    </row>
    <row r="89" spans="1:6" ht="15" thickBot="1">
      <c r="A89" s="176"/>
      <c r="B89" s="12">
        <v>1979</v>
      </c>
      <c r="C89" s="26">
        <v>4912.1</v>
      </c>
      <c r="D89" s="26">
        <v>735.4</v>
      </c>
      <c r="E89" s="65">
        <f t="shared" si="0"/>
        <v>-65.66071428571001</v>
      </c>
      <c r="F89" s="28">
        <f t="shared" si="1"/>
        <v>-0.0022800838745141035</v>
      </c>
    </row>
    <row r="90" spans="1:6" ht="15" thickBot="1">
      <c r="A90" s="176"/>
      <c r="B90" s="12">
        <v>1980</v>
      </c>
      <c r="C90" s="26">
        <v>4900.9</v>
      </c>
      <c r="D90" s="26">
        <v>655.3</v>
      </c>
      <c r="E90" s="65">
        <f t="shared" si="0"/>
        <v>5.45628642797667</v>
      </c>
      <c r="F90" s="28">
        <f t="shared" si="1"/>
        <v>0.024505703034136662</v>
      </c>
    </row>
    <row r="91" spans="1:9" ht="15" thickBot="1">
      <c r="A91" s="176"/>
      <c r="B91" s="12">
        <v>1981</v>
      </c>
      <c r="C91" s="26">
        <v>5021</v>
      </c>
      <c r="D91" s="26">
        <v>715.6</v>
      </c>
      <c r="E91" s="65">
        <f t="shared" si="0"/>
        <v>-7.036381514257633</v>
      </c>
      <c r="F91" s="28">
        <f t="shared" si="1"/>
        <v>-0.020254929296952762</v>
      </c>
      <c r="H91" s="69" t="s">
        <v>28</v>
      </c>
      <c r="I91" s="206" t="s">
        <v>29</v>
      </c>
    </row>
    <row r="92" spans="1:9" ht="16.5" thickBot="1">
      <c r="A92" s="176"/>
      <c r="B92" s="12">
        <v>1982</v>
      </c>
      <c r="C92" s="26">
        <v>4919.3</v>
      </c>
      <c r="D92" s="26">
        <v>615.2</v>
      </c>
      <c r="E92" s="65">
        <f t="shared" si="0"/>
        <v>2.8882629107981224</v>
      </c>
      <c r="F92" s="28">
        <f t="shared" si="1"/>
        <v>0.043298843331368284</v>
      </c>
      <c r="G92" s="69" t="s">
        <v>25</v>
      </c>
      <c r="H92" s="185">
        <f>AVERAGE(E69:E111)</f>
        <v>1.0479907167487434</v>
      </c>
      <c r="I92" s="185">
        <f>AVERAGE(F69:F111)</f>
        <v>0.03537348903750544</v>
      </c>
    </row>
    <row r="93" spans="1:9" ht="16.5" thickBot="1">
      <c r="A93" s="176"/>
      <c r="B93" s="12">
        <v>1983</v>
      </c>
      <c r="C93" s="26">
        <v>5132.3</v>
      </c>
      <c r="D93" s="26">
        <v>673.7</v>
      </c>
      <c r="E93" s="65">
        <f t="shared" si="0"/>
        <v>1.8066505765620828</v>
      </c>
      <c r="F93" s="28">
        <f t="shared" si="1"/>
        <v>0.07265748299982458</v>
      </c>
      <c r="G93" s="69" t="s">
        <v>26</v>
      </c>
      <c r="H93" s="185">
        <f>MEDIAN(E69:E111)</f>
        <v>3.588507074790642</v>
      </c>
      <c r="I93" s="185">
        <f>MEDIAN(F69:F111)</f>
        <v>0.035711445160264005</v>
      </c>
    </row>
    <row r="94" spans="1:9" ht="16.5" thickBot="1">
      <c r="A94" s="176"/>
      <c r="B94" s="12">
        <v>1984</v>
      </c>
      <c r="C94" s="26">
        <v>5505.2</v>
      </c>
      <c r="D94" s="26">
        <v>871.5</v>
      </c>
      <c r="E94" s="65">
        <f t="shared" si="0"/>
        <v>4.112789051439347</v>
      </c>
      <c r="F94" s="28">
        <f t="shared" si="1"/>
        <v>0.0384908813485433</v>
      </c>
      <c r="G94" s="69" t="s">
        <v>27</v>
      </c>
      <c r="H94" s="185">
        <f>STDEV(E69:E111)</f>
        <v>17.4865140153274</v>
      </c>
      <c r="I94" s="185">
        <f>STDEV(F69:F111)</f>
        <v>0.021803740702117637</v>
      </c>
    </row>
    <row r="95" spans="1:9" ht="15" thickBot="1">
      <c r="A95" s="176"/>
      <c r="B95" s="12">
        <v>1985</v>
      </c>
      <c r="C95" s="26">
        <v>5717.1</v>
      </c>
      <c r="D95" s="26">
        <v>863.4</v>
      </c>
      <c r="E95" s="65">
        <f t="shared" si="0"/>
        <v>4.420890937019986</v>
      </c>
      <c r="F95" s="28">
        <f t="shared" si="1"/>
        <v>0.0341606758671353</v>
      </c>
      <c r="G95" s="69" t="s">
        <v>30</v>
      </c>
      <c r="H95" s="185">
        <f>H94/H92</f>
        <v>16.685752779926396</v>
      </c>
      <c r="I95" s="185">
        <f>I94/I92</f>
        <v>0.6163864887345377</v>
      </c>
    </row>
    <row r="96" spans="1:6" ht="15" thickBot="1">
      <c r="A96" s="176"/>
      <c r="B96" s="12">
        <v>1986</v>
      </c>
      <c r="C96" s="26">
        <v>5912.4</v>
      </c>
      <c r="D96" s="26">
        <v>857.7</v>
      </c>
      <c r="E96" s="65">
        <f t="shared" si="0"/>
        <v>4.269288203086101</v>
      </c>
      <c r="F96" s="28">
        <f t="shared" si="1"/>
        <v>0.033979433055950296</v>
      </c>
    </row>
    <row r="97" spans="1:6" ht="15" thickBot="1">
      <c r="A97" s="176"/>
      <c r="B97" s="12">
        <v>1987</v>
      </c>
      <c r="C97" s="26">
        <v>6113.3</v>
      </c>
      <c r="D97" s="26">
        <v>879.3</v>
      </c>
      <c r="E97" s="65">
        <f t="shared" si="0"/>
        <v>3.4468835750686075</v>
      </c>
      <c r="F97" s="28">
        <f t="shared" si="1"/>
        <v>0.04172868990561553</v>
      </c>
    </row>
    <row r="98" spans="1:6" ht="15" thickBot="1">
      <c r="A98" s="176"/>
      <c r="B98" s="12">
        <v>1988</v>
      </c>
      <c r="C98" s="26">
        <v>6368.4</v>
      </c>
      <c r="D98" s="26">
        <v>902.8</v>
      </c>
      <c r="E98" s="65">
        <f t="shared" si="0"/>
        <v>4.041181736794976</v>
      </c>
      <c r="F98" s="28">
        <f t="shared" si="1"/>
        <v>0.03507945480811516</v>
      </c>
    </row>
    <row r="99" spans="1:6" ht="15" thickBot="1">
      <c r="A99" s="176"/>
      <c r="B99" s="12">
        <v>1989</v>
      </c>
      <c r="C99" s="26">
        <v>6591.8</v>
      </c>
      <c r="D99" s="26">
        <v>936.5</v>
      </c>
      <c r="E99" s="65">
        <f t="shared" si="0"/>
        <v>8.066322136089616</v>
      </c>
      <c r="F99" s="28">
        <f t="shared" si="1"/>
        <v>0.017612791650232024</v>
      </c>
    </row>
    <row r="100" spans="1:6" ht="15" thickBot="1">
      <c r="A100" s="176"/>
      <c r="B100" s="12">
        <v>1990</v>
      </c>
      <c r="C100" s="26">
        <v>6707.9</v>
      </c>
      <c r="D100" s="26">
        <v>907.3</v>
      </c>
      <c r="E100" s="65">
        <f t="shared" si="0"/>
        <v>-28.8031746031746</v>
      </c>
      <c r="F100" s="28">
        <f t="shared" si="1"/>
        <v>-0.004695955515138867</v>
      </c>
    </row>
    <row r="101" spans="1:6" ht="15" thickBot="1">
      <c r="A101" s="176"/>
      <c r="B101" s="12">
        <v>1991</v>
      </c>
      <c r="C101" s="26">
        <v>6676.4</v>
      </c>
      <c r="D101" s="26">
        <v>829.5</v>
      </c>
      <c r="E101" s="65">
        <f t="shared" si="0"/>
        <v>4.074165029469541</v>
      </c>
      <c r="F101" s="28">
        <f t="shared" si="1"/>
        <v>0.03049547660415798</v>
      </c>
    </row>
    <row r="102" spans="1:6" ht="15" thickBot="1">
      <c r="A102" s="176"/>
      <c r="B102" s="12">
        <v>1992</v>
      </c>
      <c r="C102" s="26">
        <v>6880</v>
      </c>
      <c r="D102" s="26">
        <v>899.8</v>
      </c>
      <c r="E102" s="65">
        <f t="shared" si="0"/>
        <v>4.927710843373484</v>
      </c>
      <c r="F102" s="28">
        <f t="shared" si="1"/>
        <v>0.026540697674418655</v>
      </c>
    </row>
    <row r="103" spans="1:6" ht="15" thickBot="1">
      <c r="A103" s="176"/>
      <c r="B103" s="12">
        <v>1993</v>
      </c>
      <c r="C103" s="26">
        <v>7062.6</v>
      </c>
      <c r="D103" s="26">
        <v>977.9</v>
      </c>
      <c r="E103" s="65">
        <f t="shared" si="0"/>
        <v>3.4300245527885016</v>
      </c>
      <c r="F103" s="28">
        <f t="shared" si="1"/>
        <v>0.04036757001670765</v>
      </c>
    </row>
    <row r="104" spans="1:6" ht="15" thickBot="1">
      <c r="A104" s="176"/>
      <c r="B104" s="12">
        <v>1994</v>
      </c>
      <c r="C104" s="26">
        <v>7347.7</v>
      </c>
      <c r="D104" s="26">
        <v>1107</v>
      </c>
      <c r="E104" s="65">
        <f t="shared" si="0"/>
        <v>5.645079041305446</v>
      </c>
      <c r="F104" s="28">
        <f t="shared" si="1"/>
        <v>0.02668862365093844</v>
      </c>
    </row>
    <row r="105" spans="1:6" ht="15" thickBot="1">
      <c r="A105" s="176"/>
      <c r="B105" s="12">
        <v>1995</v>
      </c>
      <c r="C105" s="26">
        <v>7543.8</v>
      </c>
      <c r="D105" s="26">
        <v>1140.6</v>
      </c>
      <c r="E105" s="65">
        <f t="shared" si="0"/>
        <v>4.23385300668152</v>
      </c>
      <c r="F105" s="28">
        <f t="shared" si="1"/>
        <v>0.035711445160264005</v>
      </c>
    </row>
    <row r="106" spans="1:6" ht="15" thickBot="1">
      <c r="A106" s="176"/>
      <c r="B106" s="12">
        <v>1996</v>
      </c>
      <c r="C106" s="26">
        <v>7813.2</v>
      </c>
      <c r="D106" s="26">
        <v>1242.7</v>
      </c>
      <c r="E106" s="65">
        <f t="shared" si="0"/>
        <v>3.588507074790642</v>
      </c>
      <c r="F106" s="28">
        <f t="shared" si="1"/>
        <v>0.04432242871038757</v>
      </c>
    </row>
    <row r="107" spans="1:6" ht="15" thickBot="1">
      <c r="A107" s="176"/>
      <c r="B107" s="12">
        <v>1997</v>
      </c>
      <c r="C107" s="26">
        <v>8159.5</v>
      </c>
      <c r="D107" s="26">
        <v>1393.3</v>
      </c>
      <c r="E107" s="65">
        <f t="shared" si="0"/>
        <v>3.9876931883228433</v>
      </c>
      <c r="F107" s="28">
        <f t="shared" si="1"/>
        <v>0.04282125130216308</v>
      </c>
    </row>
    <row r="108" spans="1:6" ht="15" thickBot="1">
      <c r="A108" s="176"/>
      <c r="B108" s="12">
        <v>1998</v>
      </c>
      <c r="C108" s="26">
        <v>8508.9</v>
      </c>
      <c r="D108" s="26">
        <v>1558</v>
      </c>
      <c r="E108" s="65">
        <f t="shared" si="0"/>
        <v>4.482163406214035</v>
      </c>
      <c r="F108" s="28">
        <f t="shared" si="1"/>
        <v>0.04085134388698896</v>
      </c>
    </row>
    <row r="109" spans="1:6" ht="15" thickBot="1">
      <c r="A109" s="176"/>
      <c r="B109" s="12">
        <v>1999</v>
      </c>
      <c r="C109" s="26">
        <v>8856.5</v>
      </c>
      <c r="D109" s="26">
        <v>1660.1</v>
      </c>
      <c r="E109" s="65">
        <f t="shared" si="0"/>
        <v>4.517278911564626</v>
      </c>
      <c r="F109" s="28">
        <f t="shared" si="1"/>
        <v>0.04149494721391069</v>
      </c>
    </row>
    <row r="110" spans="1:6" ht="15" thickBot="1">
      <c r="A110" s="176"/>
      <c r="B110" s="12">
        <v>2000</v>
      </c>
      <c r="C110" s="26">
        <v>9224</v>
      </c>
      <c r="D110" s="26">
        <v>1772.9</v>
      </c>
      <c r="E110" s="65">
        <f t="shared" si="0"/>
        <v>6.479282203827313</v>
      </c>
      <c r="F110" s="28">
        <f t="shared" si="1"/>
        <v>0.02966456947535444</v>
      </c>
    </row>
    <row r="111" spans="1:6" ht="15" thickBot="1">
      <c r="A111" s="176"/>
      <c r="B111" s="12">
        <v>2001</v>
      </c>
      <c r="C111" s="31">
        <v>9497.62598884067</v>
      </c>
      <c r="D111" s="32">
        <v>1620.5</v>
      </c>
      <c r="E111" s="65">
        <f t="shared" si="0"/>
        <v>2.1761199876938893</v>
      </c>
      <c r="F111" s="28">
        <f t="shared" si="1"/>
        <v>0.07840633143843441</v>
      </c>
    </row>
    <row r="112" spans="1:6" ht="15" thickBot="1">
      <c r="A112" s="176"/>
      <c r="B112" s="12">
        <v>2002</v>
      </c>
      <c r="C112" s="184">
        <v>10242.3</v>
      </c>
      <c r="D112" s="32">
        <v>1620.5</v>
      </c>
      <c r="E112" s="65">
        <f>D112/(C113-C112)</f>
        <v>-0.1582164162346348</v>
      </c>
      <c r="F112" s="28"/>
    </row>
    <row r="113" spans="1:4" ht="13.5">
      <c r="A113" s="176"/>
      <c r="B113" s="75"/>
      <c r="C113" s="75"/>
      <c r="D113" s="75"/>
    </row>
    <row r="114" ht="13.5">
      <c r="C114" s="75" t="s">
        <v>31</v>
      </c>
    </row>
    <row r="117" ht="13.5">
      <c r="B117" s="186" t="s">
        <v>32</v>
      </c>
    </row>
    <row r="118" ht="13.5">
      <c r="B118" s="75" t="s">
        <v>34</v>
      </c>
    </row>
    <row r="119" ht="13.5">
      <c r="B119" s="75" t="s">
        <v>166</v>
      </c>
    </row>
    <row r="120" ht="13.5">
      <c r="B120" s="75" t="s">
        <v>167</v>
      </c>
    </row>
    <row r="121" ht="13.5">
      <c r="B121" s="75" t="s">
        <v>168</v>
      </c>
    </row>
    <row r="122" spans="8:18" ht="15" thickBot="1">
      <c r="H122" s="199"/>
      <c r="I122" s="200"/>
      <c r="J122" s="199"/>
      <c r="R122" s="93"/>
    </row>
    <row r="123" spans="2:14" ht="15" thickBot="1">
      <c r="B123" s="21" t="s">
        <v>52</v>
      </c>
      <c r="C123" s="21" t="s">
        <v>158</v>
      </c>
      <c r="D123" s="23"/>
      <c r="E123" s="21" t="s">
        <v>49</v>
      </c>
      <c r="F123" s="21" t="s">
        <v>159</v>
      </c>
      <c r="G123" s="22"/>
      <c r="H123" s="21" t="s">
        <v>159</v>
      </c>
      <c r="I123" s="22"/>
      <c r="J123" s="21" t="s">
        <v>81</v>
      </c>
      <c r="N123" s="7" t="s">
        <v>76</v>
      </c>
    </row>
    <row r="124" spans="2:17" ht="15" thickBot="1">
      <c r="B124" s="24" t="s">
        <v>51</v>
      </c>
      <c r="C124" s="24" t="s">
        <v>154</v>
      </c>
      <c r="D124" s="24" t="s">
        <v>48</v>
      </c>
      <c r="E124" s="24" t="s">
        <v>50</v>
      </c>
      <c r="F124" s="24" t="s">
        <v>161</v>
      </c>
      <c r="G124" s="25" t="s">
        <v>156</v>
      </c>
      <c r="H124" s="24" t="s">
        <v>160</v>
      </c>
      <c r="I124" s="24" t="s">
        <v>155</v>
      </c>
      <c r="J124" s="41" t="s">
        <v>83</v>
      </c>
      <c r="K124" s="50"/>
      <c r="L124" s="50" t="s">
        <v>73</v>
      </c>
      <c r="M124" s="50" t="s">
        <v>74</v>
      </c>
      <c r="N124" s="50" t="s">
        <v>161</v>
      </c>
      <c r="O124" s="50" t="s">
        <v>50</v>
      </c>
      <c r="P124" s="50" t="s">
        <v>48</v>
      </c>
      <c r="Q124" s="51" t="s">
        <v>75</v>
      </c>
    </row>
    <row r="125" spans="1:17" ht="15" thickBot="1">
      <c r="A125" s="4" t="s">
        <v>80</v>
      </c>
      <c r="B125" s="24" t="s">
        <v>75</v>
      </c>
      <c r="C125" s="24" t="s">
        <v>73</v>
      </c>
      <c r="D125" s="24" t="s">
        <v>48</v>
      </c>
      <c r="E125" s="24" t="s">
        <v>77</v>
      </c>
      <c r="F125" s="24" t="s">
        <v>161</v>
      </c>
      <c r="G125" s="24" t="s">
        <v>74</v>
      </c>
      <c r="H125" s="24" t="s">
        <v>160</v>
      </c>
      <c r="I125" s="24" t="s">
        <v>155</v>
      </c>
      <c r="J125" s="64" t="s">
        <v>82</v>
      </c>
      <c r="K125" s="43" t="s">
        <v>73</v>
      </c>
      <c r="L125" s="44">
        <v>1</v>
      </c>
      <c r="M125" s="44"/>
      <c r="N125" s="44"/>
      <c r="O125" s="44"/>
      <c r="P125" s="44"/>
      <c r="Q125" s="45"/>
    </row>
    <row r="126" spans="1:17" ht="15" thickBot="1">
      <c r="A126" s="12">
        <v>1959</v>
      </c>
      <c r="B126" s="30">
        <v>0.2741438927750022</v>
      </c>
      <c r="C126" s="26">
        <v>2319</v>
      </c>
      <c r="D126" s="29">
        <v>0.464792899408284</v>
      </c>
      <c r="E126" s="28">
        <v>1.7418874279422243</v>
      </c>
      <c r="F126" s="27">
        <v>28.9</v>
      </c>
      <c r="G126" s="26">
        <v>12.1</v>
      </c>
      <c r="H126" s="27">
        <v>33.1</v>
      </c>
      <c r="I126" s="26">
        <v>2317.4</v>
      </c>
      <c r="J126" s="65">
        <f>LN(C126)</f>
        <v>7.7488913372555315</v>
      </c>
      <c r="K126" s="46" t="s">
        <v>74</v>
      </c>
      <c r="L126" s="39">
        <v>0.45715308377065733</v>
      </c>
      <c r="M126" s="39">
        <v>1</v>
      </c>
      <c r="N126" s="39"/>
      <c r="O126" s="39"/>
      <c r="P126" s="39"/>
      <c r="Q126" s="47"/>
    </row>
    <row r="127" spans="1:17" ht="15" thickBot="1">
      <c r="A127" s="12">
        <v>1960</v>
      </c>
      <c r="B127" s="30">
        <v>0.2853490581804475</v>
      </c>
      <c r="C127" s="26">
        <v>2376.7</v>
      </c>
      <c r="D127" s="29">
        <v>0.4784495227075499</v>
      </c>
      <c r="E127" s="28">
        <v>1.7744971217903112</v>
      </c>
      <c r="F127" s="27">
        <v>29.1</v>
      </c>
      <c r="G127" s="26">
        <v>10.9</v>
      </c>
      <c r="H127" s="27">
        <v>33.4</v>
      </c>
      <c r="I127" s="26">
        <v>2378.5</v>
      </c>
      <c r="J127" s="65">
        <f aca="true" t="shared" si="2" ref="J127:J168">LN(C127)</f>
        <v>7.773468249887321</v>
      </c>
      <c r="K127" s="46" t="s">
        <v>161</v>
      </c>
      <c r="L127" s="39">
        <v>0.9808951816702295</v>
      </c>
      <c r="M127" s="39">
        <v>0.3900577891979598</v>
      </c>
      <c r="N127" s="39">
        <v>1</v>
      </c>
      <c r="O127" s="39"/>
      <c r="P127" s="39"/>
      <c r="Q127" s="47"/>
    </row>
    <row r="128" spans="1:17" ht="15" thickBot="1">
      <c r="A128" s="12">
        <v>1961</v>
      </c>
      <c r="B128" s="30">
        <v>0.23869436781514433</v>
      </c>
      <c r="C128" s="26">
        <v>2432</v>
      </c>
      <c r="D128" s="29">
        <v>0.48428731762065097</v>
      </c>
      <c r="E128" s="28">
        <v>1.7438695365429582</v>
      </c>
      <c r="F128" s="27">
        <v>29.6</v>
      </c>
      <c r="G128" s="26">
        <v>9.5</v>
      </c>
      <c r="H128" s="27">
        <v>33.4</v>
      </c>
      <c r="I128" s="26">
        <v>2435.5</v>
      </c>
      <c r="J128" s="65">
        <f t="shared" si="2"/>
        <v>7.796469243086058</v>
      </c>
      <c r="K128" s="46" t="s">
        <v>77</v>
      </c>
      <c r="L128" s="39">
        <v>-0.8367713578858262</v>
      </c>
      <c r="M128" s="39">
        <v>-0.4531297491311754</v>
      </c>
      <c r="N128" s="39">
        <v>-0.8437819899941236</v>
      </c>
      <c r="O128" s="39">
        <v>1</v>
      </c>
      <c r="P128" s="39"/>
      <c r="Q128" s="47"/>
    </row>
    <row r="129" spans="1:17" ht="15" thickBot="1">
      <c r="A129" s="12">
        <v>1962</v>
      </c>
      <c r="B129" s="30">
        <v>0.2172003231445003</v>
      </c>
      <c r="C129" s="26">
        <v>2578.9</v>
      </c>
      <c r="D129" s="29">
        <v>0.4658448895737032</v>
      </c>
      <c r="E129" s="28">
        <v>1.7122767984482856</v>
      </c>
      <c r="F129" s="27">
        <v>29.9</v>
      </c>
      <c r="G129" s="26">
        <v>19.6</v>
      </c>
      <c r="H129" s="27">
        <v>33.5</v>
      </c>
      <c r="I129" s="26">
        <v>2569.5</v>
      </c>
      <c r="J129" s="65">
        <f t="shared" si="2"/>
        <v>7.855118230410703</v>
      </c>
      <c r="K129" s="46" t="s">
        <v>48</v>
      </c>
      <c r="L129" s="39">
        <v>-0.6169566583444901</v>
      </c>
      <c r="M129" s="39">
        <v>-0.2353013952601485</v>
      </c>
      <c r="N129" s="39">
        <v>-0.5912628006385444</v>
      </c>
      <c r="O129" s="39">
        <v>0.30702980658096835</v>
      </c>
      <c r="P129" s="39">
        <v>1</v>
      </c>
      <c r="Q129" s="47"/>
    </row>
    <row r="130" spans="1:17" ht="15" thickBot="1">
      <c r="A130" s="12">
        <v>1963</v>
      </c>
      <c r="B130" s="30">
        <v>0.0004554080629390223</v>
      </c>
      <c r="C130" s="26">
        <v>2690.4</v>
      </c>
      <c r="D130" s="29">
        <v>0.45965592440029074</v>
      </c>
      <c r="E130" s="28">
        <v>1.698588304626182</v>
      </c>
      <c r="F130" s="27">
        <v>30.2</v>
      </c>
      <c r="G130" s="26">
        <v>18.4</v>
      </c>
      <c r="H130" s="27">
        <v>33.4</v>
      </c>
      <c r="I130" s="26">
        <v>2683.6</v>
      </c>
      <c r="J130" s="65">
        <f t="shared" si="2"/>
        <v>7.89744516042606</v>
      </c>
      <c r="K130" s="48" t="s">
        <v>75</v>
      </c>
      <c r="L130" s="40">
        <v>0.7910989986173178</v>
      </c>
      <c r="M130" s="40">
        <v>0.392000486090955</v>
      </c>
      <c r="N130" s="40">
        <v>0.7599324292535169</v>
      </c>
      <c r="O130" s="40">
        <v>-0.6361790407490325</v>
      </c>
      <c r="P130" s="40">
        <v>-0.4637538968786416</v>
      </c>
      <c r="Q130" s="49">
        <v>1</v>
      </c>
    </row>
    <row r="131" spans="1:10" ht="15" thickBot="1">
      <c r="A131" s="12">
        <v>1964</v>
      </c>
      <c r="B131" s="30">
        <v>0.2661310019669314</v>
      </c>
      <c r="C131" s="26">
        <v>2846.5</v>
      </c>
      <c r="D131" s="29">
        <v>0.45091401489505756</v>
      </c>
      <c r="E131" s="28">
        <v>1.6637882668618125</v>
      </c>
      <c r="F131" s="27">
        <v>30.6</v>
      </c>
      <c r="G131" s="26">
        <v>15.1</v>
      </c>
      <c r="H131" s="27">
        <v>33.5</v>
      </c>
      <c r="I131" s="26">
        <v>2844.1</v>
      </c>
      <c r="J131" s="65">
        <f t="shared" si="2"/>
        <v>7.953845448391137</v>
      </c>
    </row>
    <row r="132" spans="1:18" ht="15" thickBot="1">
      <c r="A132" s="12">
        <v>1965</v>
      </c>
      <c r="B132" s="30">
        <v>0.1304608569651389</v>
      </c>
      <c r="C132" s="26">
        <v>3028.5</v>
      </c>
      <c r="D132" s="29">
        <v>0.4301097114993905</v>
      </c>
      <c r="E132" s="28">
        <v>1.738043236015155</v>
      </c>
      <c r="F132" s="27">
        <v>31</v>
      </c>
      <c r="G132" s="26">
        <v>30.6</v>
      </c>
      <c r="H132" s="27">
        <v>34.1</v>
      </c>
      <c r="I132" s="26">
        <v>3008.5</v>
      </c>
      <c r="J132" s="65">
        <f t="shared" si="2"/>
        <v>8.015822726421002</v>
      </c>
      <c r="K132" s="87" t="s">
        <v>54</v>
      </c>
      <c r="L132" s="88"/>
      <c r="M132" s="85" t="s">
        <v>91</v>
      </c>
      <c r="N132" s="84"/>
      <c r="O132"/>
      <c r="P132"/>
      <c r="Q132"/>
      <c r="R132"/>
    </row>
    <row r="133" spans="1:18" ht="15" thickBot="1">
      <c r="A133" s="12">
        <v>1966</v>
      </c>
      <c r="B133" s="30">
        <v>0.3828152726110259</v>
      </c>
      <c r="C133" s="26">
        <v>3227.5</v>
      </c>
      <c r="D133" s="29">
        <v>0.4155539516420065</v>
      </c>
      <c r="E133" s="28">
        <v>1.8208923116637268</v>
      </c>
      <c r="F133" s="27">
        <v>31.5</v>
      </c>
      <c r="G133" s="26">
        <v>42.8</v>
      </c>
      <c r="H133" s="27">
        <v>35.2</v>
      </c>
      <c r="I133" s="26">
        <v>3191.1</v>
      </c>
      <c r="J133" s="65">
        <f t="shared" si="2"/>
        <v>8.079463122720798</v>
      </c>
      <c r="K133" s="46" t="s">
        <v>55</v>
      </c>
      <c r="L133" s="89">
        <v>0.791098998617318</v>
      </c>
      <c r="M133"/>
      <c r="N133"/>
      <c r="O133"/>
      <c r="P133"/>
      <c r="Q133"/>
      <c r="R133"/>
    </row>
    <row r="134" spans="1:20" ht="15" thickBot="1">
      <c r="A134" s="12">
        <v>1967</v>
      </c>
      <c r="B134" s="30">
        <v>0.3483506704414131</v>
      </c>
      <c r="C134" s="26">
        <v>3308.3</v>
      </c>
      <c r="D134" s="29">
        <v>0.43030935001737924</v>
      </c>
      <c r="E134" s="28">
        <v>1.8029425232435445</v>
      </c>
      <c r="F134" s="27">
        <v>32.4</v>
      </c>
      <c r="G134" s="26">
        <v>31.7</v>
      </c>
      <c r="H134" s="27">
        <v>35.6</v>
      </c>
      <c r="I134" s="26">
        <v>3288.2</v>
      </c>
      <c r="J134" s="65">
        <f t="shared" si="2"/>
        <v>8.104189741269773</v>
      </c>
      <c r="K134" s="46" t="s">
        <v>56</v>
      </c>
      <c r="L134" s="89">
        <v>0.6258376256133232</v>
      </c>
      <c r="M134"/>
      <c r="N134"/>
      <c r="O134"/>
      <c r="P134"/>
      <c r="Q134"/>
      <c r="R134"/>
      <c r="T134"/>
    </row>
    <row r="135" spans="1:20" ht="15" thickBot="1">
      <c r="A135" s="12">
        <v>1968</v>
      </c>
      <c r="B135" s="30">
        <v>0.4132658245182094</v>
      </c>
      <c r="C135" s="26">
        <v>3466.1</v>
      </c>
      <c r="D135" s="29">
        <v>0.42079442949833834</v>
      </c>
      <c r="E135" s="28">
        <v>1.8344516924917291</v>
      </c>
      <c r="F135" s="27">
        <v>33.4</v>
      </c>
      <c r="G135" s="26">
        <v>28.4</v>
      </c>
      <c r="H135" s="27">
        <v>36.6</v>
      </c>
      <c r="I135" s="26">
        <v>3450</v>
      </c>
      <c r="J135" s="65">
        <f t="shared" si="2"/>
        <v>8.1507853215616</v>
      </c>
      <c r="K135" s="46" t="s">
        <v>89</v>
      </c>
      <c r="L135" s="90">
        <v>0.6167117140429165</v>
      </c>
      <c r="M135"/>
      <c r="N135"/>
      <c r="O135"/>
      <c r="P135"/>
      <c r="Q135"/>
      <c r="R135"/>
      <c r="T135"/>
    </row>
    <row r="136" spans="1:20" ht="15" thickBot="1">
      <c r="A136" s="12">
        <v>1969</v>
      </c>
      <c r="B136" s="30">
        <v>0.42617996747290526</v>
      </c>
      <c r="C136" s="26">
        <v>3571.4</v>
      </c>
      <c r="D136" s="29">
        <v>0.4173625107975813</v>
      </c>
      <c r="E136" s="28">
        <v>1.924041283969321</v>
      </c>
      <c r="F136" s="27">
        <v>34.8</v>
      </c>
      <c r="G136" s="26">
        <v>27.4</v>
      </c>
      <c r="H136" s="27">
        <v>38</v>
      </c>
      <c r="I136" s="26">
        <v>3555.9</v>
      </c>
      <c r="J136" s="65">
        <f t="shared" si="2"/>
        <v>8.180712954763024</v>
      </c>
      <c r="K136" s="46" t="s">
        <v>90</v>
      </c>
      <c r="L136" s="89">
        <v>0.16329834244109492</v>
      </c>
      <c r="M136"/>
      <c r="N136"/>
      <c r="O136"/>
      <c r="P136"/>
      <c r="Q136"/>
      <c r="R136"/>
      <c r="T136"/>
    </row>
    <row r="137" spans="1:20" ht="15" thickBot="1">
      <c r="A137" s="12">
        <v>1970</v>
      </c>
      <c r="B137" s="30">
        <v>0.19250583907930074</v>
      </c>
      <c r="C137" s="26">
        <v>3578</v>
      </c>
      <c r="D137" s="29">
        <v>0.4328442437923251</v>
      </c>
      <c r="E137" s="28">
        <v>1.8346331341895323</v>
      </c>
      <c r="F137" s="27">
        <v>36.7</v>
      </c>
      <c r="G137" s="26">
        <v>4.4</v>
      </c>
      <c r="H137" s="27">
        <v>39.3</v>
      </c>
      <c r="I137" s="26">
        <v>3588.6</v>
      </c>
      <c r="J137" s="65">
        <f t="shared" si="2"/>
        <v>8.182559264068665</v>
      </c>
      <c r="K137" s="48" t="s">
        <v>57</v>
      </c>
      <c r="L137" s="91">
        <v>43</v>
      </c>
      <c r="M137"/>
      <c r="N137"/>
      <c r="O137"/>
      <c r="P137"/>
      <c r="Q137"/>
      <c r="R137"/>
      <c r="T137"/>
    </row>
    <row r="138" spans="1:20" ht="15" thickBot="1">
      <c r="A138" s="12">
        <v>1971</v>
      </c>
      <c r="B138" s="30">
        <v>0.4400674690745792</v>
      </c>
      <c r="C138" s="26">
        <v>3697.7</v>
      </c>
      <c r="D138" s="29">
        <v>0.42710690986553057</v>
      </c>
      <c r="E138" s="28">
        <v>1.7154711472860837</v>
      </c>
      <c r="F138" s="27">
        <v>38.8</v>
      </c>
      <c r="G138" s="26">
        <v>23.9</v>
      </c>
      <c r="H138" s="27">
        <v>40.5</v>
      </c>
      <c r="I138" s="26">
        <v>3688.1</v>
      </c>
      <c r="J138" s="65">
        <f t="shared" si="2"/>
        <v>8.215466283723869</v>
      </c>
      <c r="K138" t="s">
        <v>58</v>
      </c>
      <c r="L138"/>
      <c r="M138"/>
      <c r="N138"/>
      <c r="O138"/>
      <c r="P138"/>
      <c r="Q138"/>
      <c r="R138"/>
      <c r="T138"/>
    </row>
    <row r="139" spans="1:20" ht="15" thickBot="1">
      <c r="A139" s="12">
        <v>1972</v>
      </c>
      <c r="B139" s="30">
        <v>0.3391574882193617</v>
      </c>
      <c r="C139" s="26">
        <v>3898.4</v>
      </c>
      <c r="D139" s="29">
        <v>0.4042377869334903</v>
      </c>
      <c r="E139" s="28">
        <v>1.7070792941273258</v>
      </c>
      <c r="F139" s="27">
        <v>40.5</v>
      </c>
      <c r="G139" s="26">
        <v>23.7</v>
      </c>
      <c r="H139" s="27">
        <v>41.8</v>
      </c>
      <c r="I139" s="26">
        <v>3887.7</v>
      </c>
      <c r="J139" s="65">
        <f t="shared" si="2"/>
        <v>8.268321491529296</v>
      </c>
      <c r="K139" s="36"/>
      <c r="L139" s="81" t="s">
        <v>63</v>
      </c>
      <c r="M139" s="81" t="s">
        <v>64</v>
      </c>
      <c r="N139" s="81" t="s">
        <v>65</v>
      </c>
      <c r="O139" s="81" t="s">
        <v>66</v>
      </c>
      <c r="P139" s="92" t="s">
        <v>67</v>
      </c>
      <c r="Q139"/>
      <c r="R139"/>
      <c r="T139"/>
    </row>
    <row r="140" spans="1:20" ht="15" thickBot="1">
      <c r="A140" s="12">
        <v>1973</v>
      </c>
      <c r="B140" s="30">
        <v>0.47298147429266596</v>
      </c>
      <c r="C140" s="26">
        <v>4123.4</v>
      </c>
      <c r="D140" s="29">
        <v>0.3677742823436886</v>
      </c>
      <c r="E140" s="28">
        <v>1.8590045995990092</v>
      </c>
      <c r="F140" s="27">
        <v>41.8</v>
      </c>
      <c r="G140" s="26">
        <v>35.6</v>
      </c>
      <c r="H140" s="27">
        <v>45.6</v>
      </c>
      <c r="I140" s="26">
        <v>4094.3</v>
      </c>
      <c r="J140" s="65">
        <f t="shared" si="2"/>
        <v>8.324433344736468</v>
      </c>
      <c r="K140" s="37" t="s">
        <v>59</v>
      </c>
      <c r="L140" s="34">
        <v>1</v>
      </c>
      <c r="M140" s="34">
        <v>1.828727375932691</v>
      </c>
      <c r="N140" s="34">
        <v>1.828727375932691</v>
      </c>
      <c r="O140" s="61">
        <v>68.5780944495202</v>
      </c>
      <c r="P140" s="34">
        <v>2.732440748597759E-10</v>
      </c>
      <c r="Q140"/>
      <c r="R140"/>
      <c r="T140"/>
    </row>
    <row r="141" spans="1:20" ht="15" thickBot="1">
      <c r="A141" s="12">
        <v>1974</v>
      </c>
      <c r="B141" s="30">
        <v>0.46479314921821613</v>
      </c>
      <c r="C141" s="26">
        <v>4099</v>
      </c>
      <c r="D141" s="29">
        <v>0.3724306996039978</v>
      </c>
      <c r="E141" s="28">
        <v>1.8444375151578145</v>
      </c>
      <c r="F141" s="27">
        <v>44.4</v>
      </c>
      <c r="G141" s="26">
        <v>25</v>
      </c>
      <c r="H141" s="27">
        <v>52.6</v>
      </c>
      <c r="I141" s="26">
        <v>4080.7</v>
      </c>
      <c r="J141" s="65">
        <f t="shared" si="2"/>
        <v>8.318498320504338</v>
      </c>
      <c r="K141" s="37" t="s">
        <v>60</v>
      </c>
      <c r="L141" s="34">
        <v>41</v>
      </c>
      <c r="M141" s="34">
        <v>1.0933202944043732</v>
      </c>
      <c r="N141" s="34">
        <v>0.026666348644009102</v>
      </c>
      <c r="O141" s="34"/>
      <c r="P141" s="34"/>
      <c r="Q141"/>
      <c r="R141"/>
      <c r="T141"/>
    </row>
    <row r="142" spans="1:20" ht="15" thickBot="1">
      <c r="A142" s="12">
        <v>1975</v>
      </c>
      <c r="B142" s="30">
        <v>0.4920390440397486</v>
      </c>
      <c r="C142" s="26">
        <v>4084.4</v>
      </c>
      <c r="D142" s="29">
        <v>0.39748404055576414</v>
      </c>
      <c r="E142" s="28">
        <v>1.7676245230118324</v>
      </c>
      <c r="F142" s="27">
        <v>49.3</v>
      </c>
      <c r="G142" s="26">
        <v>-9.4</v>
      </c>
      <c r="H142" s="27">
        <v>58.2</v>
      </c>
      <c r="I142" s="26">
        <v>4118.5</v>
      </c>
      <c r="J142" s="65">
        <f t="shared" si="2"/>
        <v>8.314930117681383</v>
      </c>
      <c r="K142" s="38" t="s">
        <v>61</v>
      </c>
      <c r="L142" s="35">
        <v>42</v>
      </c>
      <c r="M142" s="35">
        <v>2.922047670337064</v>
      </c>
      <c r="N142" s="35"/>
      <c r="O142" s="35"/>
      <c r="P142" s="35"/>
      <c r="Q142"/>
      <c r="R142"/>
      <c r="T142"/>
    </row>
    <row r="143" spans="1:20" ht="15" thickBot="1">
      <c r="A143" s="12">
        <v>1976</v>
      </c>
      <c r="B143" s="30">
        <v>0.5014183625707855</v>
      </c>
      <c r="C143" s="26">
        <v>4311.7</v>
      </c>
      <c r="D143" s="29">
        <v>0.3845578457446808</v>
      </c>
      <c r="E143" s="28">
        <v>1.664101907226968</v>
      </c>
      <c r="F143" s="27">
        <v>53.8</v>
      </c>
      <c r="G143" s="26">
        <v>32.5</v>
      </c>
      <c r="H143" s="27">
        <v>60.8</v>
      </c>
      <c r="I143" s="26">
        <v>4288.8</v>
      </c>
      <c r="J143" s="65">
        <f t="shared" si="2"/>
        <v>8.36908753688464</v>
      </c>
      <c r="K143"/>
      <c r="L143"/>
      <c r="M143"/>
      <c r="N143"/>
      <c r="O143"/>
      <c r="P143"/>
      <c r="Q143"/>
      <c r="R143"/>
      <c r="T143"/>
    </row>
    <row r="144" spans="1:20" ht="15" thickBot="1">
      <c r="A144" s="12">
        <v>1977</v>
      </c>
      <c r="B144" s="30">
        <v>0.4999062861919597</v>
      </c>
      <c r="C144" s="26">
        <v>4511.8</v>
      </c>
      <c r="D144" s="29">
        <v>0.37399292221971236</v>
      </c>
      <c r="E144" s="28">
        <v>1.668106063590875</v>
      </c>
      <c r="F144" s="27">
        <v>56.9</v>
      </c>
      <c r="G144" s="26">
        <v>40.8</v>
      </c>
      <c r="H144" s="27">
        <v>64.7</v>
      </c>
      <c r="I144" s="26">
        <v>4478.8</v>
      </c>
      <c r="J144" s="65">
        <f t="shared" si="2"/>
        <v>8.414451465954324</v>
      </c>
      <c r="K144" s="36"/>
      <c r="L144" s="82" t="s">
        <v>68</v>
      </c>
      <c r="M144" s="81" t="s">
        <v>88</v>
      </c>
      <c r="N144" s="81" t="s">
        <v>69</v>
      </c>
      <c r="O144" s="81" t="s">
        <v>70</v>
      </c>
      <c r="P144" s="81" t="s">
        <v>71</v>
      </c>
      <c r="Q144" s="81" t="s">
        <v>72</v>
      </c>
      <c r="R144"/>
      <c r="T144"/>
    </row>
    <row r="145" spans="1:20" ht="15" thickBot="1">
      <c r="A145" s="12">
        <v>1978</v>
      </c>
      <c r="B145" s="30">
        <v>0.5079274101635486</v>
      </c>
      <c r="C145" s="26">
        <v>4760.6</v>
      </c>
      <c r="D145" s="29">
        <v>0.3612002138465651</v>
      </c>
      <c r="E145" s="28">
        <v>1.682393563806136</v>
      </c>
      <c r="F145" s="27">
        <v>60.6</v>
      </c>
      <c r="G145" s="26">
        <v>44.1</v>
      </c>
      <c r="H145" s="27">
        <v>69.8</v>
      </c>
      <c r="I145" s="26">
        <v>4722.9</v>
      </c>
      <c r="J145" s="65">
        <f t="shared" si="2"/>
        <v>8.468128989701947</v>
      </c>
      <c r="K145" s="37" t="s">
        <v>62</v>
      </c>
      <c r="L145" s="203">
        <v>-0.0279523215919028</v>
      </c>
      <c r="M145" s="34">
        <v>0.06940828834149763</v>
      </c>
      <c r="N145" s="34">
        <v>-0.40272310785671317</v>
      </c>
      <c r="O145" s="34">
        <v>0.6892441652112329</v>
      </c>
      <c r="P145" s="34">
        <v>-0.1681252806145587</v>
      </c>
      <c r="Q145" s="34">
        <v>0.11222063743075308</v>
      </c>
      <c r="R145"/>
      <c r="T145"/>
    </row>
    <row r="146" spans="1:20" ht="15" thickBot="1">
      <c r="A146" s="12">
        <v>1979</v>
      </c>
      <c r="B146" s="30">
        <v>0.22972007394304658</v>
      </c>
      <c r="C146" s="26">
        <v>4912.1</v>
      </c>
      <c r="D146" s="29">
        <v>0.34475829601561603</v>
      </c>
      <c r="E146" s="28">
        <v>1.7178138622069938</v>
      </c>
      <c r="F146" s="27">
        <v>65.2</v>
      </c>
      <c r="G146" s="26">
        <v>26.1</v>
      </c>
      <c r="H146" s="27">
        <v>77.5</v>
      </c>
      <c r="I146" s="26">
        <v>4894.4</v>
      </c>
      <c r="J146" s="65">
        <f t="shared" si="2"/>
        <v>8.49945682792594</v>
      </c>
      <c r="K146" s="38" t="s">
        <v>73</v>
      </c>
      <c r="L146" s="60">
        <v>0.00010286190460814814</v>
      </c>
      <c r="M146" s="35">
        <v>1.2421151384350822E-05</v>
      </c>
      <c r="N146" s="59">
        <v>8.281189192955328</v>
      </c>
      <c r="O146" s="35">
        <v>2.732440748597799E-10</v>
      </c>
      <c r="P146" s="35">
        <v>7.777686670249728E-05</v>
      </c>
      <c r="Q146" s="35">
        <v>0.000127946942513799</v>
      </c>
      <c r="R146"/>
      <c r="T146"/>
    </row>
    <row r="147" spans="1:20" ht="15" thickBot="1">
      <c r="A147" s="12">
        <v>1980</v>
      </c>
      <c r="B147" s="30">
        <v>0.4798645430104919</v>
      </c>
      <c r="C147" s="26">
        <v>4900.9</v>
      </c>
      <c r="D147" s="29">
        <v>0.34927854454203267</v>
      </c>
      <c r="E147" s="28">
        <v>1.6856877754581303</v>
      </c>
      <c r="F147" s="27">
        <v>72.6</v>
      </c>
      <c r="G147" s="26">
        <v>-10.5</v>
      </c>
      <c r="H147" s="27">
        <v>88</v>
      </c>
      <c r="I147" s="26">
        <v>4928.1</v>
      </c>
      <c r="J147" s="65">
        <f t="shared" si="2"/>
        <v>8.4971741407022</v>
      </c>
      <c r="K147"/>
      <c r="L147"/>
      <c r="M147"/>
      <c r="N147"/>
      <c r="O147"/>
      <c r="P147"/>
      <c r="Q147"/>
      <c r="R147"/>
      <c r="T147"/>
    </row>
    <row r="148" spans="1:20" ht="15" thickBot="1">
      <c r="A148" s="12">
        <v>1981</v>
      </c>
      <c r="B148" s="30">
        <v>0.43301944714464125</v>
      </c>
      <c r="C148" s="26">
        <v>5021</v>
      </c>
      <c r="D148" s="29">
        <v>0.34662190516156105</v>
      </c>
      <c r="E148" s="28">
        <v>1.9090914656169844</v>
      </c>
      <c r="F148" s="27">
        <v>82.4</v>
      </c>
      <c r="G148" s="26">
        <v>37.9</v>
      </c>
      <c r="H148" s="27">
        <v>95.1</v>
      </c>
      <c r="I148" s="26">
        <v>4989.5</v>
      </c>
      <c r="J148" s="65">
        <f t="shared" si="2"/>
        <v>8.521384396034705</v>
      </c>
      <c r="M148" s="53" t="s">
        <v>78</v>
      </c>
      <c r="N148" s="153">
        <f>L145</f>
        <v>-0.0279523215919028</v>
      </c>
      <c r="O148" s="204">
        <f>L146</f>
        <v>0.00010286190460814814</v>
      </c>
      <c r="P148" s="55" t="s">
        <v>73</v>
      </c>
      <c r="Q148"/>
      <c r="R148"/>
      <c r="T148"/>
    </row>
    <row r="149" spans="1:20" ht="15" thickBot="1">
      <c r="A149" s="12">
        <v>1982</v>
      </c>
      <c r="B149" s="30">
        <v>0.585961122623076</v>
      </c>
      <c r="C149" s="26">
        <v>4919.3</v>
      </c>
      <c r="D149" s="29">
        <v>0.37766009610669804</v>
      </c>
      <c r="E149" s="28">
        <v>1.8103994853576126</v>
      </c>
      <c r="F149" s="27">
        <v>90.9</v>
      </c>
      <c r="G149" s="26">
        <v>-15.6</v>
      </c>
      <c r="H149" s="27">
        <v>100</v>
      </c>
      <c r="I149" s="26">
        <v>4954.9</v>
      </c>
      <c r="J149" s="65">
        <f t="shared" si="2"/>
        <v>8.50092152294134</v>
      </c>
      <c r="M149" s="56"/>
      <c r="N149" s="57"/>
      <c r="O149" s="205">
        <f>(N146)</f>
        <v>8.281189192955328</v>
      </c>
      <c r="P149" s="58"/>
      <c r="Q149"/>
      <c r="R149"/>
      <c r="T149"/>
    </row>
    <row r="150" spans="1:20" ht="15" thickBot="1">
      <c r="A150" s="12">
        <v>1983</v>
      </c>
      <c r="B150" s="30">
        <v>0.6163846116732653</v>
      </c>
      <c r="C150" s="26">
        <v>5132.3</v>
      </c>
      <c r="D150" s="29">
        <v>0.3844298349335477</v>
      </c>
      <c r="E150" s="28">
        <v>1.7805351317901008</v>
      </c>
      <c r="F150" s="27">
        <v>96.5</v>
      </c>
      <c r="G150" s="26">
        <v>-9.7</v>
      </c>
      <c r="H150" s="27">
        <v>101.5</v>
      </c>
      <c r="I150" s="26">
        <v>5154.5</v>
      </c>
      <c r="J150" s="65">
        <f t="shared" si="2"/>
        <v>8.54330918076901</v>
      </c>
      <c r="T150"/>
    </row>
    <row r="151" spans="1:20" ht="15" thickBot="1">
      <c r="A151" s="12">
        <v>1984</v>
      </c>
      <c r="B151" s="30">
        <v>0.635430533113549</v>
      </c>
      <c r="C151" s="26">
        <v>5505.2</v>
      </c>
      <c r="D151" s="29">
        <v>0.3701070663811563</v>
      </c>
      <c r="E151" s="28">
        <v>1.7207383647410788</v>
      </c>
      <c r="F151" s="27">
        <v>99.6</v>
      </c>
      <c r="G151" s="26">
        <v>76.1</v>
      </c>
      <c r="H151" s="27">
        <v>103.7</v>
      </c>
      <c r="I151" s="26">
        <v>5427.9</v>
      </c>
      <c r="J151" s="65">
        <f t="shared" si="2"/>
        <v>8.613448379105378</v>
      </c>
      <c r="T151"/>
    </row>
    <row r="152" spans="1:20" ht="15" thickBot="1">
      <c r="A152" s="12">
        <v>1985</v>
      </c>
      <c r="B152" s="30">
        <v>0.40269408398257234</v>
      </c>
      <c r="C152" s="26">
        <v>5717.1</v>
      </c>
      <c r="D152" s="29">
        <v>0.3715364158874496</v>
      </c>
      <c r="E152" s="28">
        <v>1.6575514880019726</v>
      </c>
      <c r="F152" s="27">
        <v>103.9</v>
      </c>
      <c r="G152" s="26">
        <v>27.1</v>
      </c>
      <c r="H152" s="27">
        <v>104.7</v>
      </c>
      <c r="I152" s="26">
        <v>5698.8</v>
      </c>
      <c r="J152" s="65">
        <f t="shared" si="2"/>
        <v>8.65121696280244</v>
      </c>
      <c r="K152" s="87" t="s">
        <v>54</v>
      </c>
      <c r="L152" s="88"/>
      <c r="M152" s="86" t="s">
        <v>79</v>
      </c>
      <c r="N152" s="84"/>
      <c r="O152"/>
      <c r="P152"/>
      <c r="Q152"/>
      <c r="R152"/>
      <c r="T152"/>
    </row>
    <row r="153" spans="1:20" ht="15" thickBot="1">
      <c r="A153" s="12">
        <v>1986</v>
      </c>
      <c r="B153" s="30">
        <v>0.7055091238405027</v>
      </c>
      <c r="C153" s="26">
        <v>5912.4</v>
      </c>
      <c r="D153" s="29">
        <v>0.39384934035751273</v>
      </c>
      <c r="E153" s="28">
        <v>1.6387125229006523</v>
      </c>
      <c r="F153" s="27">
        <v>107.6</v>
      </c>
      <c r="G153" s="26">
        <v>9.6</v>
      </c>
      <c r="H153" s="27">
        <v>103.2</v>
      </c>
      <c r="I153" s="26">
        <v>5912.6</v>
      </c>
      <c r="J153" s="65">
        <f t="shared" si="2"/>
        <v>8.684807119337918</v>
      </c>
      <c r="K153" s="46" t="s">
        <v>55</v>
      </c>
      <c r="L153" s="89">
        <v>0.996089787679703</v>
      </c>
      <c r="M153"/>
      <c r="N153"/>
      <c r="O153"/>
      <c r="P153"/>
      <c r="Q153"/>
      <c r="R153"/>
      <c r="T153"/>
    </row>
    <row r="154" spans="1:20" ht="15" thickBot="1">
      <c r="A154" s="12">
        <v>1987</v>
      </c>
      <c r="B154" s="30">
        <v>0.6121074889450502</v>
      </c>
      <c r="C154" s="26">
        <v>6113.3</v>
      </c>
      <c r="D154" s="29">
        <v>0.3788159111933395</v>
      </c>
      <c r="E154" s="28">
        <v>1.6444468188354502</v>
      </c>
      <c r="F154" s="27">
        <v>109.6</v>
      </c>
      <c r="G154" s="26">
        <v>29.6</v>
      </c>
      <c r="H154" s="27">
        <v>105.4</v>
      </c>
      <c r="I154" s="26">
        <v>6088.8</v>
      </c>
      <c r="J154" s="65">
        <f t="shared" si="2"/>
        <v>8.718222004564776</v>
      </c>
      <c r="K154" s="46" t="s">
        <v>56</v>
      </c>
      <c r="L154" s="89">
        <v>0.9921948651197957</v>
      </c>
      <c r="M154"/>
      <c r="N154"/>
      <c r="O154"/>
      <c r="P154"/>
      <c r="Q154"/>
      <c r="R154"/>
      <c r="T154"/>
    </row>
    <row r="155" spans="1:18" ht="15" thickBot="1">
      <c r="A155" s="12">
        <v>1988</v>
      </c>
      <c r="B155" s="30">
        <v>0.7286977531175018</v>
      </c>
      <c r="C155" s="26">
        <v>6368.4</v>
      </c>
      <c r="D155" s="29">
        <v>0.3688467760573146</v>
      </c>
      <c r="E155" s="28">
        <v>1.6527896306686156</v>
      </c>
      <c r="F155" s="27">
        <v>113.6</v>
      </c>
      <c r="G155" s="26">
        <v>18.4</v>
      </c>
      <c r="H155" s="27">
        <v>108</v>
      </c>
      <c r="I155" s="26">
        <v>6352.6</v>
      </c>
      <c r="J155" s="65">
        <f t="shared" si="2"/>
        <v>8.759103539621849</v>
      </c>
      <c r="K155" s="46" t="s">
        <v>89</v>
      </c>
      <c r="L155" s="89">
        <v>0.9920044959763761</v>
      </c>
      <c r="M155"/>
      <c r="N155"/>
      <c r="O155"/>
      <c r="P155"/>
      <c r="Q155"/>
      <c r="R155"/>
    </row>
    <row r="156" spans="1:18" ht="15" thickBot="1">
      <c r="A156" s="12">
        <v>1989</v>
      </c>
      <c r="B156" s="30">
        <v>0.5019891474200517</v>
      </c>
      <c r="C156" s="26">
        <v>6591.8</v>
      </c>
      <c r="D156" s="29">
        <v>0.3639211686277367</v>
      </c>
      <c r="E156" s="28">
        <v>1.6691238884814121</v>
      </c>
      <c r="F156" s="27">
        <v>118.3</v>
      </c>
      <c r="G156" s="26">
        <v>29.6</v>
      </c>
      <c r="H156" s="27">
        <v>113.6</v>
      </c>
      <c r="I156" s="26">
        <v>6565.4</v>
      </c>
      <c r="J156" s="65">
        <f t="shared" si="2"/>
        <v>8.793581731323222</v>
      </c>
      <c r="K156" s="46" t="s">
        <v>90</v>
      </c>
      <c r="L156" s="89">
        <v>0.03599553226929279</v>
      </c>
      <c r="M156"/>
      <c r="N156"/>
      <c r="O156"/>
      <c r="P156"/>
      <c r="Q156"/>
      <c r="R156"/>
    </row>
    <row r="157" spans="1:20" ht="15" thickBot="1">
      <c r="A157" s="12">
        <v>1990</v>
      </c>
      <c r="B157" s="30">
        <v>0.44784031121235357</v>
      </c>
      <c r="C157" s="26">
        <v>6707.9</v>
      </c>
      <c r="D157" s="29">
        <v>0.3713665634895222</v>
      </c>
      <c r="E157" s="28">
        <v>1.6299974567119873</v>
      </c>
      <c r="F157" s="27">
        <v>124</v>
      </c>
      <c r="G157" s="26">
        <v>16.5</v>
      </c>
      <c r="H157" s="27">
        <v>119.2</v>
      </c>
      <c r="I157" s="26">
        <v>6695.6</v>
      </c>
      <c r="J157" s="65">
        <f t="shared" si="2"/>
        <v>8.811041215258934</v>
      </c>
      <c r="K157" s="48" t="s">
        <v>57</v>
      </c>
      <c r="L157" s="91">
        <v>43</v>
      </c>
      <c r="M157"/>
      <c r="N157"/>
      <c r="O157"/>
      <c r="P157"/>
      <c r="Q157"/>
      <c r="R157"/>
      <c r="T157"/>
    </row>
    <row r="158" spans="1:20" ht="15" thickBot="1">
      <c r="A158" s="12">
        <v>1991</v>
      </c>
      <c r="B158" s="30">
        <v>0.46033990106785744</v>
      </c>
      <c r="C158" s="26">
        <v>6676.4</v>
      </c>
      <c r="D158" s="29">
        <v>0.3853898808445909</v>
      </c>
      <c r="E158" s="28">
        <v>1.5679209262733367</v>
      </c>
      <c r="F158" s="27">
        <v>130.7</v>
      </c>
      <c r="G158" s="26">
        <v>-1</v>
      </c>
      <c r="H158" s="27">
        <v>121.7</v>
      </c>
      <c r="I158" s="26">
        <v>6681.5</v>
      </c>
      <c r="J158" s="65">
        <f t="shared" si="2"/>
        <v>8.806334199104262</v>
      </c>
      <c r="K158"/>
      <c r="L158"/>
      <c r="M158"/>
      <c r="N158"/>
      <c r="O158"/>
      <c r="P158"/>
      <c r="Q158"/>
      <c r="R158"/>
      <c r="T158"/>
    </row>
    <row r="159" spans="1:20" ht="15" thickBot="1">
      <c r="A159" s="12">
        <v>1992</v>
      </c>
      <c r="B159" s="30">
        <v>0.3396371282477648</v>
      </c>
      <c r="C159" s="26">
        <v>6880</v>
      </c>
      <c r="D159" s="29">
        <v>0.35800290637326143</v>
      </c>
      <c r="E159" s="28">
        <v>1.5109412493842072</v>
      </c>
      <c r="F159" s="27">
        <v>136.2</v>
      </c>
      <c r="G159" s="26">
        <v>17.1</v>
      </c>
      <c r="H159" s="27">
        <v>123.2</v>
      </c>
      <c r="I159" s="26">
        <v>6867.7</v>
      </c>
      <c r="J159" s="65">
        <f t="shared" si="2"/>
        <v>8.836373930927389</v>
      </c>
      <c r="K159" t="s">
        <v>58</v>
      </c>
      <c r="L159"/>
      <c r="M159"/>
      <c r="N159"/>
      <c r="O159"/>
      <c r="P159"/>
      <c r="Q159"/>
      <c r="R159"/>
      <c r="T159"/>
    </row>
    <row r="160" spans="1:20" ht="15" thickBot="1">
      <c r="A160" s="12">
        <v>1993</v>
      </c>
      <c r="B160" s="30">
        <v>0.820504064068743</v>
      </c>
      <c r="C160" s="26">
        <v>7062.6</v>
      </c>
      <c r="D160" s="29">
        <v>0.34483101721335946</v>
      </c>
      <c r="E160" s="28">
        <v>1.4842964242170447</v>
      </c>
      <c r="F160" s="27">
        <v>140.3</v>
      </c>
      <c r="G160" s="26">
        <v>20</v>
      </c>
      <c r="H160" s="27">
        <v>124.7</v>
      </c>
      <c r="I160" s="26">
        <v>7043.8</v>
      </c>
      <c r="J160" s="65">
        <f t="shared" si="2"/>
        <v>8.86256853464649</v>
      </c>
      <c r="K160" s="36"/>
      <c r="L160" s="81" t="s">
        <v>63</v>
      </c>
      <c r="M160" s="81" t="s">
        <v>64</v>
      </c>
      <c r="N160" s="81" t="s">
        <v>65</v>
      </c>
      <c r="O160" s="81" t="s">
        <v>66</v>
      </c>
      <c r="P160" s="92" t="s">
        <v>67</v>
      </c>
      <c r="Q160" s="68"/>
      <c r="R160"/>
      <c r="T160"/>
    </row>
    <row r="161" spans="1:20" ht="15" thickBot="1">
      <c r="A161" s="12">
        <v>1994</v>
      </c>
      <c r="B161" s="30">
        <v>0.8599301580608035</v>
      </c>
      <c r="C161" s="26">
        <v>7347.7</v>
      </c>
      <c r="D161" s="29">
        <v>0.34096074697462986</v>
      </c>
      <c r="E161" s="28">
        <v>1.4668158759608654</v>
      </c>
      <c r="F161" s="27">
        <v>144.5</v>
      </c>
      <c r="G161" s="26">
        <v>66.8</v>
      </c>
      <c r="H161" s="27">
        <v>125.5</v>
      </c>
      <c r="I161" s="26">
        <v>7285.8</v>
      </c>
      <c r="J161" s="65">
        <f t="shared" si="2"/>
        <v>8.902142618065517</v>
      </c>
      <c r="K161" s="34" t="s">
        <v>59</v>
      </c>
      <c r="L161" s="34">
        <v>1</v>
      </c>
      <c r="M161" s="34">
        <v>6.753013519028232</v>
      </c>
      <c r="N161" s="34">
        <v>6.753013519028232</v>
      </c>
      <c r="O161" s="34">
        <v>5211.952143592802</v>
      </c>
      <c r="P161" s="34">
        <v>7.732515695493737E-45</v>
      </c>
      <c r="Q161"/>
      <c r="R161"/>
      <c r="T161"/>
    </row>
    <row r="162" spans="1:20" ht="15" thickBot="1">
      <c r="A162" s="12">
        <v>1995</v>
      </c>
      <c r="B162" s="30">
        <v>0.8651399580545914</v>
      </c>
      <c r="C162" s="26">
        <v>7543.8</v>
      </c>
      <c r="D162" s="29">
        <v>0.35161409177224157</v>
      </c>
      <c r="E162" s="28">
        <v>1.4375145947172128</v>
      </c>
      <c r="F162" s="27">
        <v>148.2</v>
      </c>
      <c r="G162" s="26">
        <v>30.4</v>
      </c>
      <c r="H162" s="27">
        <v>127.9</v>
      </c>
      <c r="I162" s="26">
        <v>7512.2</v>
      </c>
      <c r="J162" s="65">
        <f t="shared" si="2"/>
        <v>8.928481312827191</v>
      </c>
      <c r="K162" s="34" t="s">
        <v>60</v>
      </c>
      <c r="L162" s="34">
        <v>41</v>
      </c>
      <c r="M162" s="34">
        <v>0.05312281207733765</v>
      </c>
      <c r="N162" s="34">
        <v>0.0012956783433496987</v>
      </c>
      <c r="O162" s="34"/>
      <c r="P162" s="34"/>
      <c r="Q162"/>
      <c r="R162"/>
      <c r="T162"/>
    </row>
    <row r="163" spans="1:20" ht="15" thickBot="1">
      <c r="A163" s="12">
        <v>1996</v>
      </c>
      <c r="B163" s="30">
        <v>0.9225156204231253</v>
      </c>
      <c r="C163" s="26">
        <v>7813.2</v>
      </c>
      <c r="D163" s="29">
        <v>0.358739621034703</v>
      </c>
      <c r="E163" s="28">
        <v>1.388849598507939</v>
      </c>
      <c r="F163" s="27">
        <v>152.4</v>
      </c>
      <c r="G163" s="26">
        <v>30</v>
      </c>
      <c r="H163" s="27">
        <v>131.3</v>
      </c>
      <c r="I163" s="26">
        <v>7783.2</v>
      </c>
      <c r="J163" s="65">
        <f t="shared" si="2"/>
        <v>8.963569890030817</v>
      </c>
      <c r="K163" s="35" t="s">
        <v>61</v>
      </c>
      <c r="L163" s="35">
        <v>42</v>
      </c>
      <c r="M163" s="35">
        <v>6.80613633110557</v>
      </c>
      <c r="N163" s="35"/>
      <c r="O163" s="35"/>
      <c r="P163" s="35"/>
      <c r="Q163"/>
      <c r="R163"/>
      <c r="T163"/>
    </row>
    <row r="164" spans="1:20" ht="15" thickBot="1">
      <c r="A164" s="12">
        <v>1997</v>
      </c>
      <c r="B164" s="30">
        <v>0.18757182221385127</v>
      </c>
      <c r="C164" s="26">
        <v>8159.5</v>
      </c>
      <c r="D164" s="29">
        <v>0.37313775510204084</v>
      </c>
      <c r="E164" s="28">
        <v>1.3913146493365827</v>
      </c>
      <c r="F164" s="27">
        <v>156.9</v>
      </c>
      <c r="G164" s="26">
        <v>63.8</v>
      </c>
      <c r="H164" s="27">
        <v>131.8</v>
      </c>
      <c r="I164" s="26">
        <v>8095.2</v>
      </c>
      <c r="J164" s="65">
        <f t="shared" si="2"/>
        <v>9.00693817157099</v>
      </c>
      <c r="K164"/>
      <c r="L164"/>
      <c r="M164"/>
      <c r="N164"/>
      <c r="O164"/>
      <c r="P164"/>
      <c r="Q164"/>
      <c r="R164"/>
      <c r="T164"/>
    </row>
    <row r="165" spans="1:20" ht="15" thickBot="1">
      <c r="A165" s="12">
        <v>1998</v>
      </c>
      <c r="B165" s="30">
        <v>1.006173934058316</v>
      </c>
      <c r="C165" s="26">
        <v>8508.9</v>
      </c>
      <c r="D165" s="29">
        <v>0.37547475565908744</v>
      </c>
      <c r="E165" s="28">
        <v>1.3725707841158663</v>
      </c>
      <c r="F165" s="27">
        <v>160.5</v>
      </c>
      <c r="G165" s="26">
        <v>76.7</v>
      </c>
      <c r="H165" s="27">
        <v>130.7</v>
      </c>
      <c r="I165" s="26">
        <v>8431.8</v>
      </c>
      <c r="J165" s="65">
        <f t="shared" si="2"/>
        <v>9.048867953518188</v>
      </c>
      <c r="K165" s="36"/>
      <c r="L165" s="81" t="s">
        <v>68</v>
      </c>
      <c r="M165" s="81" t="s">
        <v>90</v>
      </c>
      <c r="N165" s="81" t="s">
        <v>69</v>
      </c>
      <c r="O165" s="81" t="s">
        <v>70</v>
      </c>
      <c r="P165" s="81" t="s">
        <v>71</v>
      </c>
      <c r="Q165" s="81" t="s">
        <v>72</v>
      </c>
      <c r="R165"/>
      <c r="T165"/>
    </row>
    <row r="166" spans="1:20" ht="15" thickBot="1">
      <c r="A166" s="12">
        <v>1999</v>
      </c>
      <c r="B166" s="30">
        <v>1.0280677556415418</v>
      </c>
      <c r="C166" s="26">
        <v>8856.5</v>
      </c>
      <c r="D166" s="29">
        <v>0.3782448359806214</v>
      </c>
      <c r="E166" s="28">
        <v>1.3554559495877938</v>
      </c>
      <c r="F166" s="27">
        <v>163</v>
      </c>
      <c r="G166" s="26">
        <v>62.1</v>
      </c>
      <c r="H166" s="27">
        <v>133</v>
      </c>
      <c r="I166" s="26">
        <v>8792</v>
      </c>
      <c r="J166" s="65">
        <f t="shared" si="2"/>
        <v>9.088906931692652</v>
      </c>
      <c r="K166" s="34" t="s">
        <v>62</v>
      </c>
      <c r="L166" s="39">
        <v>-54.746699925980856</v>
      </c>
      <c r="M166" s="34">
        <v>0.8758459613143794</v>
      </c>
      <c r="N166" s="34">
        <v>-62.5072242655805</v>
      </c>
      <c r="O166" s="34">
        <v>2.6980718589087398E-42</v>
      </c>
      <c r="P166" s="34">
        <v>-56.51550770065808</v>
      </c>
      <c r="Q166" s="34">
        <v>-52.977892151303635</v>
      </c>
      <c r="R166"/>
      <c r="T166"/>
    </row>
    <row r="167" spans="1:20" ht="15" thickBot="1">
      <c r="A167" s="12">
        <v>2000</v>
      </c>
      <c r="B167" s="30">
        <v>0.9754658305561049</v>
      </c>
      <c r="C167" s="26">
        <v>9224</v>
      </c>
      <c r="D167" s="29">
        <v>0.4008398927048063</v>
      </c>
      <c r="E167" s="28">
        <v>1.3885248901903366</v>
      </c>
      <c r="F167" s="27">
        <v>166.6</v>
      </c>
      <c r="G167" s="26">
        <v>50.6</v>
      </c>
      <c r="H167" s="27">
        <v>138</v>
      </c>
      <c r="I167" s="26">
        <v>9167</v>
      </c>
      <c r="J167" s="65">
        <f t="shared" si="2"/>
        <v>9.129564061948894</v>
      </c>
      <c r="K167" s="35" t="s">
        <v>80</v>
      </c>
      <c r="L167" s="60">
        <v>0.03193406620793191</v>
      </c>
      <c r="M167" s="202">
        <v>0.0004423377573027334</v>
      </c>
      <c r="N167" s="35">
        <v>72.19385114817685</v>
      </c>
      <c r="O167" s="35">
        <v>7.732515695122186E-45</v>
      </c>
      <c r="P167" s="35">
        <v>0.031040746493382794</v>
      </c>
      <c r="Q167" s="35">
        <v>0.03282738592248103</v>
      </c>
      <c r="R167"/>
      <c r="T167"/>
    </row>
    <row r="168" spans="1:20" ht="15" thickBot="1">
      <c r="A168" s="12">
        <v>2001</v>
      </c>
      <c r="B168" s="30">
        <v>1.129739527292814</v>
      </c>
      <c r="C168" s="31">
        <v>9497.62598884067</v>
      </c>
      <c r="D168" s="29">
        <v>0.4281111077960438</v>
      </c>
      <c r="E168" s="28">
        <v>1.3822</v>
      </c>
      <c r="F168" s="27">
        <v>172.2</v>
      </c>
      <c r="G168" s="33">
        <v>52.10102721545294</v>
      </c>
      <c r="H168" s="27">
        <v>140.7</v>
      </c>
      <c r="I168" s="32">
        <v>9438.935108380574</v>
      </c>
      <c r="J168" s="65">
        <f t="shared" si="2"/>
        <v>9.158797150447938</v>
      </c>
      <c r="K168" s="207" t="s">
        <v>172</v>
      </c>
      <c r="L168"/>
      <c r="M168"/>
      <c r="N168"/>
      <c r="O168"/>
      <c r="P168"/>
      <c r="Q168"/>
      <c r="R168"/>
      <c r="T168"/>
    </row>
    <row r="169" spans="1:20" ht="13.5">
      <c r="A169" s="12">
        <v>2002</v>
      </c>
      <c r="B169" s="6"/>
      <c r="C169" s="3"/>
      <c r="D169" s="7"/>
      <c r="E169" s="13"/>
      <c r="L169"/>
      <c r="M169"/>
      <c r="N169"/>
      <c r="O169"/>
      <c r="P169"/>
      <c r="Q169"/>
      <c r="R169"/>
      <c r="S169"/>
      <c r="T169"/>
    </row>
    <row r="170" spans="1:4" ht="13.5" customHeight="1">
      <c r="A170" s="1"/>
      <c r="B170" s="1" t="s">
        <v>169</v>
      </c>
      <c r="C170" s="1"/>
      <c r="D170" s="1"/>
    </row>
    <row r="171" spans="1:4" ht="13.5" customHeight="1">
      <c r="A171" s="1"/>
      <c r="B171" s="1" t="s">
        <v>170</v>
      </c>
      <c r="C171" s="1"/>
      <c r="D171" s="1"/>
    </row>
    <row r="172" spans="1:4" ht="13.5" customHeight="1">
      <c r="A172" s="1"/>
      <c r="B172" s="1" t="s">
        <v>171</v>
      </c>
      <c r="C172" s="1"/>
      <c r="D172" s="1"/>
    </row>
    <row r="173" spans="1:4" ht="13.5" customHeight="1" thickBot="1">
      <c r="A173" s="1"/>
      <c r="B173" s="1"/>
      <c r="C173" s="1"/>
      <c r="D173" s="1"/>
    </row>
    <row r="174" spans="1:20" ht="15" thickBot="1">
      <c r="A174" s="12"/>
      <c r="D174" s="52"/>
      <c r="E174" s="8"/>
      <c r="F174" s="9" t="s">
        <v>193</v>
      </c>
      <c r="G174" s="8"/>
      <c r="H174" s="10"/>
      <c r="T174"/>
    </row>
    <row r="175" spans="1:20" ht="15" thickBot="1">
      <c r="A175" s="12"/>
      <c r="B175" s="69" t="s">
        <v>53</v>
      </c>
      <c r="C175" s="31">
        <f>$L$19</f>
        <v>11395.43496375305</v>
      </c>
      <c r="E175"/>
      <c r="F175"/>
      <c r="G175"/>
      <c r="T175"/>
    </row>
    <row r="176" spans="1:20" ht="13.5">
      <c r="A176" s="12"/>
      <c r="B176" s="21" t="s">
        <v>86</v>
      </c>
      <c r="C176" s="21" t="s">
        <v>84</v>
      </c>
      <c r="D176" s="21" t="s">
        <v>85</v>
      </c>
      <c r="E176" s="72"/>
      <c r="F176" s="80" t="s">
        <v>87</v>
      </c>
      <c r="G176" s="73"/>
      <c r="H176"/>
      <c r="I176"/>
      <c r="J176"/>
      <c r="T176"/>
    </row>
    <row r="177" spans="2:10" ht="13.5">
      <c r="B177" s="42">
        <f>C177/(1.25)</f>
        <v>0.02554725296634553</v>
      </c>
      <c r="C177" s="66">
        <f>L167</f>
        <v>0.03193406620793191</v>
      </c>
      <c r="D177" s="42">
        <f>C177*(1.25)</f>
        <v>0.03991758275991489</v>
      </c>
      <c r="E177" s="74"/>
      <c r="F177" s="75"/>
      <c r="G177" s="76"/>
      <c r="H177"/>
      <c r="I177"/>
      <c r="J177"/>
    </row>
    <row r="178" spans="2:10" ht="15" thickBot="1">
      <c r="B178" s="67" t="s">
        <v>53</v>
      </c>
      <c r="C178" s="67" t="s">
        <v>53</v>
      </c>
      <c r="D178" s="67" t="s">
        <v>53</v>
      </c>
      <c r="E178" s="77" t="s">
        <v>86</v>
      </c>
      <c r="F178" s="63" t="s">
        <v>84</v>
      </c>
      <c r="G178" s="78" t="s">
        <v>85</v>
      </c>
      <c r="H178"/>
      <c r="I178"/>
      <c r="J178"/>
    </row>
    <row r="179" spans="1:10" ht="15" thickBot="1">
      <c r="A179" s="4">
        <v>2002</v>
      </c>
      <c r="B179" s="31">
        <f>C175*(1+$B$177)</f>
        <v>11686.55702343359</v>
      </c>
      <c r="C179" s="31">
        <f>C175*(1+$C$177)</f>
        <v>11759.337538353722</v>
      </c>
      <c r="D179" s="31">
        <f>C175*(1+$D$177)</f>
        <v>11850.31318200389</v>
      </c>
      <c r="E179" s="79">
        <f aca="true" t="shared" si="3" ref="E179:E187">$N$148+$O$148*B179</f>
        <v>1.1741491921502067</v>
      </c>
      <c r="F179" s="79">
        <f aca="true" t="shared" si="4" ref="F179:F187">$N$148+$O$148*C179</f>
        <v>1.1816355345332534</v>
      </c>
      <c r="G179" s="79">
        <f aca="true" t="shared" si="5" ref="G179:G187">$N$148+$O$148*D179</f>
        <v>1.190993462512062</v>
      </c>
      <c r="H179"/>
      <c r="I179"/>
      <c r="J179"/>
    </row>
    <row r="180" spans="1:13" ht="15" thickBot="1">
      <c r="A180" s="4">
        <v>2003</v>
      </c>
      <c r="B180" s="31">
        <f>B179*(1+$B$177)</f>
        <v>11985.116452016871</v>
      </c>
      <c r="C180" s="31">
        <f>C179*(1+$C$177)</f>
        <v>12134.861001864929</v>
      </c>
      <c r="D180" s="31">
        <f>D179*(1+$D$177)</f>
        <v>12323.349039177443</v>
      </c>
      <c r="E180" s="79">
        <f t="shared" si="3"/>
        <v>1.2048595836130036</v>
      </c>
      <c r="F180" s="79">
        <f t="shared" si="4"/>
        <v>1.2202625932150644</v>
      </c>
      <c r="G180" s="79">
        <f t="shared" si="5"/>
        <v>1.2396508317288815</v>
      </c>
      <c r="H180"/>
      <c r="I180"/>
      <c r="J180"/>
      <c r="K180" s="201"/>
      <c r="L180" s="201"/>
      <c r="M180" s="201"/>
    </row>
    <row r="181" spans="1:13" ht="15" thickBot="1">
      <c r="A181" s="4">
        <v>2004</v>
      </c>
      <c r="B181" s="31">
        <f aca="true" t="shared" si="6" ref="B181:B187">B180*(1+$B$177)</f>
        <v>12291.303253847656</v>
      </c>
      <c r="C181" s="31">
        <f aca="true" t="shared" si="7" ref="C181:C187">C180*(1+$C$177)</f>
        <v>12522.376456522534</v>
      </c>
      <c r="D181" s="31">
        <f aca="true" t="shared" si="8" ref="D181:D187">D180*(1+$D$177)</f>
        <v>12815.267344328127</v>
      </c>
      <c r="E181" s="79">
        <f t="shared" si="3"/>
        <v>1.2363545412151957</v>
      </c>
      <c r="F181" s="79">
        <f t="shared" si="4"/>
        <v>1.2601231709462382</v>
      </c>
      <c r="G181" s="79">
        <f t="shared" si="5"/>
        <v>1.290250485508293</v>
      </c>
      <c r="H181"/>
      <c r="I181"/>
      <c r="J181"/>
      <c r="K181" s="201"/>
      <c r="L181" s="201"/>
      <c r="M181" s="201"/>
    </row>
    <row r="182" spans="1:13" ht="15" thickBot="1">
      <c r="A182" s="4">
        <v>2005</v>
      </c>
      <c r="B182" s="31">
        <f t="shared" si="6"/>
        <v>12605.31228735977</v>
      </c>
      <c r="C182" s="31">
        <f t="shared" si="7"/>
        <v>12922.266855365773</v>
      </c>
      <c r="D182" s="31">
        <f t="shared" si="8"/>
        <v>13326.82183913578</v>
      </c>
      <c r="E182" s="79">
        <f t="shared" si="3"/>
        <v>1.2686541084664154</v>
      </c>
      <c r="F182" s="79">
        <f t="shared" si="4"/>
        <v>1.3012566590057657</v>
      </c>
      <c r="G182" s="79">
        <f t="shared" si="5"/>
        <v>1.3428699551550671</v>
      </c>
      <c r="H182"/>
      <c r="I182"/>
      <c r="J182"/>
      <c r="K182" s="201"/>
      <c r="L182" s="201"/>
      <c r="M182" s="201"/>
    </row>
    <row r="183" spans="1:13" ht="15" thickBot="1">
      <c r="A183" s="4">
        <v>2006</v>
      </c>
      <c r="B183" s="31">
        <f t="shared" si="6"/>
        <v>12927.343389084734</v>
      </c>
      <c r="C183" s="31">
        <f t="shared" si="7"/>
        <v>13334.927380681587</v>
      </c>
      <c r="D183" s="31">
        <f t="shared" si="8"/>
        <v>13858.796352826124</v>
      </c>
      <c r="E183" s="79">
        <f t="shared" si="3"/>
        <v>1.3017788409329056</v>
      </c>
      <c r="F183" s="79">
        <f t="shared" si="4"/>
        <v>1.3437037065963493</v>
      </c>
      <c r="G183" s="79">
        <f t="shared" si="5"/>
        <v>1.3975898668362494</v>
      </c>
      <c r="H183"/>
      <c r="I183"/>
      <c r="J183"/>
      <c r="K183" s="201"/>
      <c r="L183" s="201"/>
      <c r="M183" s="201"/>
    </row>
    <row r="184" spans="1:13" ht="15" thickBot="1">
      <c r="A184" s="4">
        <v>2007</v>
      </c>
      <c r="B184" s="31">
        <f t="shared" si="6"/>
        <v>13257.601500828498</v>
      </c>
      <c r="C184" s="31">
        <f t="shared" si="7"/>
        <v>13760.765834534237</v>
      </c>
      <c r="D184" s="31">
        <f t="shared" si="8"/>
        <v>14412.00600319287</v>
      </c>
      <c r="E184" s="79">
        <f t="shared" si="3"/>
        <v>1.3357498193191597</v>
      </c>
      <c r="F184" s="79">
        <f t="shared" si="4"/>
        <v>1.387506261015022</v>
      </c>
      <c r="G184" s="79">
        <f t="shared" si="5"/>
        <v>1.4544940651205804</v>
      </c>
      <c r="H184"/>
      <c r="I184"/>
      <c r="J184"/>
      <c r="K184" s="201"/>
      <c r="L184" s="201"/>
      <c r="M184" s="201"/>
    </row>
    <row r="185" spans="1:13" ht="15" thickBot="1">
      <c r="A185" s="4">
        <v>2008</v>
      </c>
      <c r="B185" s="31">
        <f t="shared" si="6"/>
        <v>13596.296800097167</v>
      </c>
      <c r="C185" s="31">
        <f t="shared" si="7"/>
        <v>14200.2030417661</v>
      </c>
      <c r="D185" s="31">
        <f t="shared" si="8"/>
        <v>14987.298445561712</v>
      </c>
      <c r="E185" s="79">
        <f t="shared" si="3"/>
        <v>1.3705886628837618</v>
      </c>
      <c r="F185" s="79">
        <f t="shared" si="4"/>
        <v>1.432707609106577</v>
      </c>
      <c r="G185" s="79">
        <f t="shared" si="5"/>
        <v>1.5136697414493128</v>
      </c>
      <c r="H185"/>
      <c r="I185"/>
      <c r="J185"/>
      <c r="K185" s="201"/>
      <c r="L185" s="201"/>
      <c r="M185" s="201"/>
    </row>
    <row r="186" spans="1:13" ht="15" thickBot="1">
      <c r="A186" s="4">
        <v>2009</v>
      </c>
      <c r="B186" s="31">
        <f t="shared" si="6"/>
        <v>13943.644833854765</v>
      </c>
      <c r="C186" s="31">
        <f t="shared" si="7"/>
        <v>14653.673265867936</v>
      </c>
      <c r="D186" s="31">
        <f t="shared" si="8"/>
        <v>15585.555171609965</v>
      </c>
      <c r="E186" s="79">
        <f t="shared" si="3"/>
        <v>1.4063175431979638</v>
      </c>
      <c r="F186" s="79">
        <f t="shared" si="4"/>
        <v>1.4793524200407755</v>
      </c>
      <c r="G186" s="79">
        <f t="shared" si="5"/>
        <v>1.5752075677352713</v>
      </c>
      <c r="H186"/>
      <c r="I186"/>
      <c r="J186"/>
      <c r="K186" s="201"/>
      <c r="L186" s="201"/>
      <c r="M186" s="201"/>
    </row>
    <row r="187" spans="1:13" ht="15" thickBot="1">
      <c r="A187" s="4">
        <v>2010</v>
      </c>
      <c r="B187" s="31">
        <f t="shared" si="6"/>
        <v>14299.866655698132</v>
      </c>
      <c r="C187" s="31">
        <f t="shared" si="7"/>
        <v>15121.624638129564</v>
      </c>
      <c r="D187" s="31">
        <f t="shared" si="8"/>
        <v>16207.692860031926</v>
      </c>
      <c r="E187" s="79">
        <f t="shared" si="3"/>
        <v>1.4429591982557568</v>
      </c>
      <c r="F187" s="79">
        <f t="shared" si="4"/>
        <v>1.527486789455603</v>
      </c>
      <c r="G187" s="79">
        <f t="shared" si="5"/>
        <v>1.639201835294865</v>
      </c>
      <c r="H187"/>
      <c r="I187"/>
      <c r="J187"/>
      <c r="K187" s="201"/>
      <c r="L187" s="201"/>
      <c r="M187" s="201"/>
    </row>
    <row r="188" spans="8:10" ht="13.5">
      <c r="H188"/>
      <c r="I188"/>
      <c r="J188"/>
    </row>
    <row r="218" spans="2:14" ht="13.5">
      <c r="B218" s="95"/>
      <c r="C218" s="94"/>
      <c r="D218" s="138"/>
      <c r="E218" s="139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4:8" ht="0.75" customHeight="1">
      <c r="D219" s="122">
        <v>0.755</v>
      </c>
      <c r="E219" s="157">
        <f>$E$62^($D$219)</f>
        <v>1155.6646648819635</v>
      </c>
      <c r="G219" s="132">
        <v>9</v>
      </c>
      <c r="H219" s="62">
        <v>5</v>
      </c>
    </row>
    <row r="220" spans="4:11" ht="0.75" customHeight="1">
      <c r="D220" s="162" t="s">
        <v>6</v>
      </c>
      <c r="E220" s="124" t="s">
        <v>7</v>
      </c>
      <c r="G220" s="162" t="s">
        <v>6</v>
      </c>
      <c r="H220" s="124" t="s">
        <v>7</v>
      </c>
      <c r="J220" s="162" t="s">
        <v>6</v>
      </c>
      <c r="K220" s="124" t="s">
        <v>7</v>
      </c>
    </row>
    <row r="221" spans="3:11" ht="0.75" customHeight="1">
      <c r="C221" s="163">
        <v>0</v>
      </c>
      <c r="D221" s="165">
        <f>($E$47-C221)/-$F$47</f>
        <v>21.12464231834855</v>
      </c>
      <c r="E221" s="62">
        <f>(C221-$E$52)/$F$52</f>
        <v>-8.475</v>
      </c>
      <c r="F221" s="157">
        <f>C221</f>
        <v>0</v>
      </c>
      <c r="G221" s="62">
        <f>IF(D221&lt;0,0,D221)</f>
        <v>21.12464231834855</v>
      </c>
      <c r="H221" s="62">
        <f>IF(E221&lt;0,0,E221)</f>
        <v>0</v>
      </c>
      <c r="I221" s="157">
        <f>F221</f>
        <v>0</v>
      </c>
      <c r="J221" s="62">
        <f aca="true" t="shared" si="9" ref="J221:J239">IF(G221&gt;$G$219,0,G221)</f>
        <v>0</v>
      </c>
      <c r="K221" s="62">
        <f aca="true" t="shared" si="10" ref="K221:K239">IF(H221&gt;$H$219,0,H221)</f>
        <v>0</v>
      </c>
    </row>
    <row r="222" spans="3:11" ht="0.75" customHeight="1">
      <c r="C222" s="164">
        <f aca="true" t="shared" si="11" ref="C222:C239">C221+$E$219</f>
        <v>1155.6646648819635</v>
      </c>
      <c r="D222" s="165">
        <f aca="true" t="shared" si="12" ref="D222:D239">($E$47-C222)/-$F$47</f>
        <v>18.989551849979122</v>
      </c>
      <c r="E222" s="62">
        <f aca="true" t="shared" si="13" ref="E222:E239">(C222-$E$52)/$F$52</f>
        <v>-7.608251501338526</v>
      </c>
      <c r="F222" s="157">
        <f aca="true" t="shared" si="14" ref="F222:F239">C222</f>
        <v>1155.6646648819635</v>
      </c>
      <c r="G222" s="62">
        <f aca="true" t="shared" si="15" ref="G222:G239">IF(D222&lt;0,0,D222)</f>
        <v>18.989551849979122</v>
      </c>
      <c r="H222" s="62">
        <f aca="true" t="shared" si="16" ref="H222:H239">IF(E222&lt;0,0,E222)</f>
        <v>0</v>
      </c>
      <c r="I222" s="157">
        <f aca="true" t="shared" si="17" ref="I222:I239">F222</f>
        <v>1155.6646648819635</v>
      </c>
      <c r="J222" s="62">
        <f t="shared" si="9"/>
        <v>0</v>
      </c>
      <c r="K222" s="62">
        <f t="shared" si="10"/>
        <v>0</v>
      </c>
    </row>
    <row r="223" spans="3:11" ht="0.75" customHeight="1">
      <c r="C223" s="164">
        <f t="shared" si="11"/>
        <v>2311.329329763927</v>
      </c>
      <c r="D223" s="165">
        <f t="shared" si="12"/>
        <v>16.854461381609696</v>
      </c>
      <c r="E223" s="62">
        <f t="shared" si="13"/>
        <v>-6.741503002677054</v>
      </c>
      <c r="F223" s="157">
        <f t="shared" si="14"/>
        <v>2311.329329763927</v>
      </c>
      <c r="G223" s="62">
        <f t="shared" si="15"/>
        <v>16.854461381609696</v>
      </c>
      <c r="H223" s="62">
        <f t="shared" si="16"/>
        <v>0</v>
      </c>
      <c r="I223" s="157">
        <f t="shared" si="17"/>
        <v>2311.329329763927</v>
      </c>
      <c r="J223" s="62">
        <f t="shared" si="9"/>
        <v>0</v>
      </c>
      <c r="K223" s="62">
        <f t="shared" si="10"/>
        <v>0</v>
      </c>
    </row>
    <row r="224" spans="3:11" ht="0.75" customHeight="1">
      <c r="C224" s="164">
        <f t="shared" si="11"/>
        <v>3466.993994645891</v>
      </c>
      <c r="D224" s="165">
        <f t="shared" si="12"/>
        <v>14.719370913240267</v>
      </c>
      <c r="E224" s="62">
        <f t="shared" si="13"/>
        <v>-5.8747545040155815</v>
      </c>
      <c r="F224" s="157">
        <f t="shared" si="14"/>
        <v>3466.993994645891</v>
      </c>
      <c r="G224" s="62">
        <f t="shared" si="15"/>
        <v>14.719370913240267</v>
      </c>
      <c r="H224" s="62">
        <f t="shared" si="16"/>
        <v>0</v>
      </c>
      <c r="I224" s="157">
        <f t="shared" si="17"/>
        <v>3466.993994645891</v>
      </c>
      <c r="J224" s="62">
        <f t="shared" si="9"/>
        <v>0</v>
      </c>
      <c r="K224" s="62">
        <f t="shared" si="10"/>
        <v>0</v>
      </c>
    </row>
    <row r="225" spans="3:11" ht="0.75" customHeight="1">
      <c r="C225" s="164">
        <f t="shared" si="11"/>
        <v>4622.658659527854</v>
      </c>
      <c r="D225" s="165">
        <f t="shared" si="12"/>
        <v>12.58428044487084</v>
      </c>
      <c r="E225" s="62">
        <f t="shared" si="13"/>
        <v>-5.008006005354109</v>
      </c>
      <c r="F225" s="157">
        <f t="shared" si="14"/>
        <v>4622.658659527854</v>
      </c>
      <c r="G225" s="62">
        <f t="shared" si="15"/>
        <v>12.58428044487084</v>
      </c>
      <c r="H225" s="62">
        <f t="shared" si="16"/>
        <v>0</v>
      </c>
      <c r="I225" s="157">
        <f t="shared" si="17"/>
        <v>4622.658659527854</v>
      </c>
      <c r="J225" s="62">
        <f t="shared" si="9"/>
        <v>0</v>
      </c>
      <c r="K225" s="62">
        <f t="shared" si="10"/>
        <v>0</v>
      </c>
    </row>
    <row r="226" spans="3:11" ht="0.75" customHeight="1">
      <c r="C226" s="164">
        <f t="shared" si="11"/>
        <v>5778.323324409817</v>
      </c>
      <c r="D226" s="165">
        <f t="shared" si="12"/>
        <v>10.449189976501412</v>
      </c>
      <c r="E226" s="62">
        <f t="shared" si="13"/>
        <v>-4.141257506692637</v>
      </c>
      <c r="F226" s="157">
        <f t="shared" si="14"/>
        <v>5778.323324409817</v>
      </c>
      <c r="G226" s="62">
        <f t="shared" si="15"/>
        <v>10.449189976501412</v>
      </c>
      <c r="H226" s="62">
        <f t="shared" si="16"/>
        <v>0</v>
      </c>
      <c r="I226" s="157">
        <f t="shared" si="17"/>
        <v>5778.323324409817</v>
      </c>
      <c r="J226" s="62">
        <f t="shared" si="9"/>
        <v>0</v>
      </c>
      <c r="K226" s="62">
        <f t="shared" si="10"/>
        <v>0</v>
      </c>
    </row>
    <row r="227" spans="3:11" ht="0.75" customHeight="1">
      <c r="C227" s="164">
        <f t="shared" si="11"/>
        <v>6933.987989291781</v>
      </c>
      <c r="D227" s="165">
        <f t="shared" si="12"/>
        <v>8.314099508131985</v>
      </c>
      <c r="E227" s="62">
        <f t="shared" si="13"/>
        <v>-3.2745090080311643</v>
      </c>
      <c r="F227" s="157">
        <f t="shared" si="14"/>
        <v>6933.987989291781</v>
      </c>
      <c r="G227" s="62">
        <f t="shared" si="15"/>
        <v>8.314099508131985</v>
      </c>
      <c r="H227" s="62">
        <f t="shared" si="16"/>
        <v>0</v>
      </c>
      <c r="I227" s="157">
        <f t="shared" si="17"/>
        <v>6933.987989291781</v>
      </c>
      <c r="J227" s="62">
        <f t="shared" si="9"/>
        <v>8.314099508131985</v>
      </c>
      <c r="K227" s="62">
        <f t="shared" si="10"/>
        <v>0</v>
      </c>
    </row>
    <row r="228" spans="3:11" ht="0.75" customHeight="1">
      <c r="C228" s="164">
        <f t="shared" si="11"/>
        <v>8089.652654173744</v>
      </c>
      <c r="D228" s="165">
        <f t="shared" si="12"/>
        <v>6.179009039762558</v>
      </c>
      <c r="E228" s="62">
        <f t="shared" si="13"/>
        <v>-2.407760509369692</v>
      </c>
      <c r="F228" s="157">
        <f t="shared" si="14"/>
        <v>8089.652654173744</v>
      </c>
      <c r="G228" s="62">
        <f t="shared" si="15"/>
        <v>6.179009039762558</v>
      </c>
      <c r="H228" s="62">
        <f t="shared" si="16"/>
        <v>0</v>
      </c>
      <c r="I228" s="157">
        <f t="shared" si="17"/>
        <v>8089.652654173744</v>
      </c>
      <c r="J228" s="62">
        <f t="shared" si="9"/>
        <v>6.179009039762558</v>
      </c>
      <c r="K228" s="62">
        <f t="shared" si="10"/>
        <v>0</v>
      </c>
    </row>
    <row r="229" spans="3:11" ht="0.75" customHeight="1">
      <c r="C229" s="164">
        <f t="shared" si="11"/>
        <v>9245.317319055708</v>
      </c>
      <c r="D229" s="165">
        <f t="shared" si="12"/>
        <v>4.043918571393129</v>
      </c>
      <c r="E229" s="62">
        <f t="shared" si="13"/>
        <v>-1.5410120107082188</v>
      </c>
      <c r="F229" s="157">
        <f t="shared" si="14"/>
        <v>9245.317319055708</v>
      </c>
      <c r="G229" s="62">
        <f t="shared" si="15"/>
        <v>4.043918571393129</v>
      </c>
      <c r="H229" s="62">
        <f t="shared" si="16"/>
        <v>0</v>
      </c>
      <c r="I229" s="157">
        <f t="shared" si="17"/>
        <v>9245.317319055708</v>
      </c>
      <c r="J229" s="62">
        <f t="shared" si="9"/>
        <v>4.043918571393129</v>
      </c>
      <c r="K229" s="62">
        <f t="shared" si="10"/>
        <v>0</v>
      </c>
    </row>
    <row r="230" spans="3:11" ht="0.75" customHeight="1">
      <c r="C230" s="164">
        <f t="shared" si="11"/>
        <v>10400.981983937672</v>
      </c>
      <c r="D230" s="165">
        <f t="shared" si="12"/>
        <v>1.9088281030237</v>
      </c>
      <c r="E230" s="62">
        <f t="shared" si="13"/>
        <v>-0.6742635120467456</v>
      </c>
      <c r="F230" s="157">
        <f t="shared" si="14"/>
        <v>10400.981983937672</v>
      </c>
      <c r="G230" s="62">
        <f t="shared" si="15"/>
        <v>1.9088281030237</v>
      </c>
      <c r="H230" s="62">
        <f t="shared" si="16"/>
        <v>0</v>
      </c>
      <c r="I230" s="157">
        <f t="shared" si="17"/>
        <v>10400.981983937672</v>
      </c>
      <c r="J230" s="62">
        <f t="shared" si="9"/>
        <v>1.9088281030237</v>
      </c>
      <c r="K230" s="62">
        <f t="shared" si="10"/>
        <v>0</v>
      </c>
    </row>
    <row r="231" spans="3:11" ht="0.75" customHeight="1">
      <c r="C231" s="164">
        <f t="shared" si="11"/>
        <v>11556.646648819637</v>
      </c>
      <c r="D231" s="165">
        <f t="shared" si="12"/>
        <v>-0.22626236534572894</v>
      </c>
      <c r="E231" s="62">
        <f t="shared" si="13"/>
        <v>0.19248498661472738</v>
      </c>
      <c r="F231" s="157">
        <f t="shared" si="14"/>
        <v>11556.646648819637</v>
      </c>
      <c r="G231" s="62">
        <f t="shared" si="15"/>
        <v>0</v>
      </c>
      <c r="H231" s="62">
        <f t="shared" si="16"/>
        <v>0.19248498661472738</v>
      </c>
      <c r="I231" s="157">
        <f t="shared" si="17"/>
        <v>11556.646648819637</v>
      </c>
      <c r="J231" s="62">
        <f t="shared" si="9"/>
        <v>0</v>
      </c>
      <c r="K231" s="62">
        <f t="shared" si="10"/>
        <v>0.19248498661472738</v>
      </c>
    </row>
    <row r="232" spans="3:11" ht="0.75" customHeight="1">
      <c r="C232" s="164">
        <f t="shared" si="11"/>
        <v>12712.3113137016</v>
      </c>
      <c r="D232" s="165">
        <f t="shared" si="12"/>
        <v>-2.361352833715158</v>
      </c>
      <c r="E232" s="62">
        <f t="shared" si="13"/>
        <v>1.0592334852762004</v>
      </c>
      <c r="F232" s="157">
        <f t="shared" si="14"/>
        <v>12712.3113137016</v>
      </c>
      <c r="G232" s="62">
        <f t="shared" si="15"/>
        <v>0</v>
      </c>
      <c r="H232" s="62">
        <f t="shared" si="16"/>
        <v>1.0592334852762004</v>
      </c>
      <c r="I232" s="157">
        <f t="shared" si="17"/>
        <v>12712.3113137016</v>
      </c>
      <c r="J232" s="62">
        <f t="shared" si="9"/>
        <v>0</v>
      </c>
      <c r="K232" s="62">
        <f t="shared" si="10"/>
        <v>1.0592334852762004</v>
      </c>
    </row>
    <row r="233" spans="3:11" ht="0.75" customHeight="1">
      <c r="C233" s="164">
        <f t="shared" si="11"/>
        <v>13867.975978583565</v>
      </c>
      <c r="D233" s="165">
        <f t="shared" si="12"/>
        <v>-4.496443302084587</v>
      </c>
      <c r="E233" s="62">
        <f t="shared" si="13"/>
        <v>1.9259819839376735</v>
      </c>
      <c r="F233" s="157">
        <f t="shared" si="14"/>
        <v>13867.975978583565</v>
      </c>
      <c r="G233" s="62">
        <f t="shared" si="15"/>
        <v>0</v>
      </c>
      <c r="H233" s="62">
        <f t="shared" si="16"/>
        <v>1.9259819839376735</v>
      </c>
      <c r="I233" s="157">
        <f t="shared" si="17"/>
        <v>13867.975978583565</v>
      </c>
      <c r="J233" s="62">
        <f t="shared" si="9"/>
        <v>0</v>
      </c>
      <c r="K233" s="62">
        <f t="shared" si="10"/>
        <v>1.9259819839376735</v>
      </c>
    </row>
    <row r="234" spans="3:11" ht="0.75" customHeight="1">
      <c r="C234" s="164">
        <f t="shared" si="11"/>
        <v>15023.64064346553</v>
      </c>
      <c r="D234" s="165">
        <f t="shared" si="12"/>
        <v>-6.631533770454016</v>
      </c>
      <c r="E234" s="62">
        <f t="shared" si="13"/>
        <v>2.7927304825991466</v>
      </c>
      <c r="F234" s="157">
        <f t="shared" si="14"/>
        <v>15023.64064346553</v>
      </c>
      <c r="G234" s="62">
        <f t="shared" si="15"/>
        <v>0</v>
      </c>
      <c r="H234" s="62">
        <f t="shared" si="16"/>
        <v>2.7927304825991466</v>
      </c>
      <c r="I234" s="157">
        <f t="shared" si="17"/>
        <v>15023.64064346553</v>
      </c>
      <c r="J234" s="62">
        <f t="shared" si="9"/>
        <v>0</v>
      </c>
      <c r="K234" s="62">
        <f t="shared" si="10"/>
        <v>2.7927304825991466</v>
      </c>
    </row>
    <row r="235" spans="3:11" ht="0.75" customHeight="1">
      <c r="C235" s="164">
        <f t="shared" si="11"/>
        <v>16179.305308347493</v>
      </c>
      <c r="D235" s="165">
        <f t="shared" si="12"/>
        <v>-8.766624238823445</v>
      </c>
      <c r="E235" s="62">
        <f t="shared" si="13"/>
        <v>3.6594789812606194</v>
      </c>
      <c r="F235" s="157">
        <f t="shared" si="14"/>
        <v>16179.305308347493</v>
      </c>
      <c r="G235" s="62">
        <f t="shared" si="15"/>
        <v>0</v>
      </c>
      <c r="H235" s="62">
        <f t="shared" si="16"/>
        <v>3.6594789812606194</v>
      </c>
      <c r="I235" s="157">
        <f t="shared" si="17"/>
        <v>16179.305308347493</v>
      </c>
      <c r="J235" s="62">
        <f t="shared" si="9"/>
        <v>0</v>
      </c>
      <c r="K235" s="62">
        <f t="shared" si="10"/>
        <v>3.6594789812606194</v>
      </c>
    </row>
    <row r="236" spans="3:11" ht="0.75" customHeight="1">
      <c r="C236" s="164">
        <f t="shared" si="11"/>
        <v>17334.969973229458</v>
      </c>
      <c r="D236" s="165">
        <f t="shared" si="12"/>
        <v>-10.901714707192873</v>
      </c>
      <c r="E236" s="62">
        <f t="shared" si="13"/>
        <v>4.526227479922093</v>
      </c>
      <c r="F236" s="157">
        <f t="shared" si="14"/>
        <v>17334.969973229458</v>
      </c>
      <c r="G236" s="62">
        <f t="shared" si="15"/>
        <v>0</v>
      </c>
      <c r="H236" s="62">
        <f t="shared" si="16"/>
        <v>4.526227479922093</v>
      </c>
      <c r="I236" s="157">
        <f t="shared" si="17"/>
        <v>17334.969973229458</v>
      </c>
      <c r="J236" s="62">
        <f t="shared" si="9"/>
        <v>0</v>
      </c>
      <c r="K236" s="62">
        <f t="shared" si="10"/>
        <v>4.526227479922093</v>
      </c>
    </row>
    <row r="237" spans="3:11" ht="0.75" customHeight="1">
      <c r="C237" s="164">
        <f t="shared" si="11"/>
        <v>18490.63463811142</v>
      </c>
      <c r="D237" s="165">
        <f t="shared" si="12"/>
        <v>-13.0368051755623</v>
      </c>
      <c r="E237" s="62">
        <f t="shared" si="13"/>
        <v>5.392975978583564</v>
      </c>
      <c r="F237" s="157">
        <f t="shared" si="14"/>
        <v>18490.63463811142</v>
      </c>
      <c r="G237" s="62">
        <f t="shared" si="15"/>
        <v>0</v>
      </c>
      <c r="H237" s="62">
        <f t="shared" si="16"/>
        <v>5.392975978583564</v>
      </c>
      <c r="I237" s="157">
        <f t="shared" si="17"/>
        <v>18490.63463811142</v>
      </c>
      <c r="J237" s="62">
        <f t="shared" si="9"/>
        <v>0</v>
      </c>
      <c r="K237" s="62">
        <f t="shared" si="10"/>
        <v>0</v>
      </c>
    </row>
    <row r="238" spans="3:11" ht="0.75" customHeight="1">
      <c r="C238" s="164">
        <f t="shared" si="11"/>
        <v>19646.299302993382</v>
      </c>
      <c r="D238" s="165">
        <f t="shared" si="12"/>
        <v>-15.171895643931725</v>
      </c>
      <c r="E238" s="62">
        <f t="shared" si="13"/>
        <v>6.259724477245036</v>
      </c>
      <c r="F238" s="157">
        <f t="shared" si="14"/>
        <v>19646.299302993382</v>
      </c>
      <c r="G238" s="62">
        <f t="shared" si="15"/>
        <v>0</v>
      </c>
      <c r="H238" s="62">
        <f t="shared" si="16"/>
        <v>6.259724477245036</v>
      </c>
      <c r="I238" s="157">
        <f t="shared" si="17"/>
        <v>19646.299302993382</v>
      </c>
      <c r="J238" s="62">
        <f t="shared" si="9"/>
        <v>0</v>
      </c>
      <c r="K238" s="62">
        <f t="shared" si="10"/>
        <v>0</v>
      </c>
    </row>
    <row r="239" spans="3:11" ht="0.75" customHeight="1">
      <c r="C239" s="164">
        <f t="shared" si="11"/>
        <v>20801.963967875345</v>
      </c>
      <c r="D239" s="165">
        <f t="shared" si="12"/>
        <v>-17.30698611230115</v>
      </c>
      <c r="E239" s="62">
        <f t="shared" si="13"/>
        <v>7.126472975906507</v>
      </c>
      <c r="F239" s="157">
        <f t="shared" si="14"/>
        <v>20801.963967875345</v>
      </c>
      <c r="G239" s="62">
        <f t="shared" si="15"/>
        <v>0</v>
      </c>
      <c r="H239" s="62">
        <f t="shared" si="16"/>
        <v>7.126472975906507</v>
      </c>
      <c r="I239" s="157">
        <f t="shared" si="17"/>
        <v>20801.963967875345</v>
      </c>
      <c r="J239" s="62">
        <f t="shared" si="9"/>
        <v>0</v>
      </c>
      <c r="K239" s="62">
        <f t="shared" si="10"/>
        <v>0</v>
      </c>
    </row>
    <row r="240" spans="3:11" ht="0.75" customHeight="1">
      <c r="C240" s="164"/>
      <c r="D240" s="165"/>
      <c r="E240" s="62"/>
      <c r="F240" s="157"/>
      <c r="G240" s="62"/>
      <c r="H240" s="62"/>
      <c r="I240" s="157"/>
      <c r="J240" s="62"/>
      <c r="K240" s="62"/>
    </row>
    <row r="241" spans="3:11" ht="0.75" customHeight="1">
      <c r="C241" s="164"/>
      <c r="D241" s="165"/>
      <c r="E241" s="62"/>
      <c r="F241" s="157"/>
      <c r="G241" s="62"/>
      <c r="H241" s="62"/>
      <c r="I241" s="157"/>
      <c r="J241" s="62"/>
      <c r="K241" s="62"/>
    </row>
    <row r="242" spans="3:11" ht="0.75" customHeight="1">
      <c r="C242" s="164"/>
      <c r="D242" s="165"/>
      <c r="E242" s="62"/>
      <c r="F242" s="157"/>
      <c r="G242" s="62"/>
      <c r="H242" s="62"/>
      <c r="I242" s="157"/>
      <c r="J242" s="62"/>
      <c r="K242" s="62"/>
    </row>
    <row r="243" spans="3:11" ht="0.75" customHeight="1">
      <c r="C243" s="164"/>
      <c r="D243" s="165"/>
      <c r="E243" s="62"/>
      <c r="F243" s="157"/>
      <c r="G243" s="62"/>
      <c r="H243" s="62"/>
      <c r="I243" s="157"/>
      <c r="J243" s="62"/>
      <c r="K243" s="62"/>
    </row>
    <row r="244" spans="3:11" ht="0.75" customHeight="1">
      <c r="C244" s="164"/>
      <c r="D244" s="165"/>
      <c r="E244" s="62"/>
      <c r="F244" s="157"/>
      <c r="G244" s="62"/>
      <c r="H244" s="62"/>
      <c r="I244" s="157"/>
      <c r="J244" s="62"/>
      <c r="K244" s="62"/>
    </row>
    <row r="245" spans="3:11" ht="0.75" customHeight="1">
      <c r="C245" s="164"/>
      <c r="D245" s="165"/>
      <c r="E245" s="62"/>
      <c r="F245" s="157"/>
      <c r="G245" s="62"/>
      <c r="H245" s="62"/>
      <c r="I245" s="157"/>
      <c r="J245" s="62"/>
      <c r="K245" s="62"/>
    </row>
    <row r="246" spans="3:11" ht="0.75" customHeight="1">
      <c r="C246" s="164"/>
      <c r="D246" s="165"/>
      <c r="E246" s="62"/>
      <c r="F246" s="157"/>
      <c r="G246" s="62"/>
      <c r="H246" s="62"/>
      <c r="I246" s="157"/>
      <c r="J246" s="62"/>
      <c r="K246" s="62"/>
    </row>
    <row r="247" spans="3:11" ht="0.75" customHeight="1">
      <c r="C247" s="164"/>
      <c r="D247" s="165"/>
      <c r="E247" s="62"/>
      <c r="F247" s="157"/>
      <c r="G247" s="62"/>
      <c r="H247" s="62"/>
      <c r="I247" s="157"/>
      <c r="J247" s="62"/>
      <c r="K247" s="62"/>
    </row>
    <row r="248" spans="3:11" ht="0.75" customHeight="1">
      <c r="C248" s="164"/>
      <c r="D248" s="165"/>
      <c r="E248" s="62"/>
      <c r="F248" s="157"/>
      <c r="G248" s="62"/>
      <c r="H248" s="62"/>
      <c r="I248" s="157"/>
      <c r="J248" s="62"/>
      <c r="K248" s="62"/>
    </row>
    <row r="249" spans="3:11" ht="0.75" customHeight="1">
      <c r="C249" s="164"/>
      <c r="D249" s="165"/>
      <c r="E249" s="62"/>
      <c r="F249" s="157"/>
      <c r="G249" s="62"/>
      <c r="H249" s="62"/>
      <c r="I249" s="157"/>
      <c r="J249" s="62"/>
      <c r="K249" s="62"/>
    </row>
    <row r="250" spans="3:11" ht="0.75" customHeight="1">
      <c r="C250" s="164"/>
      <c r="D250" s="165"/>
      <c r="E250" s="62"/>
      <c r="F250" s="157"/>
      <c r="G250" s="62"/>
      <c r="H250" s="62"/>
      <c r="I250" s="157"/>
      <c r="J250" s="62"/>
      <c r="K250" s="62"/>
    </row>
    <row r="251" spans="3:11" ht="0.75" customHeight="1">
      <c r="C251" s="164"/>
      <c r="D251" s="165"/>
      <c r="E251" s="62"/>
      <c r="F251" s="157"/>
      <c r="G251" s="62"/>
      <c r="H251" s="62"/>
      <c r="I251" s="157"/>
      <c r="J251" s="62"/>
      <c r="K251" s="62"/>
    </row>
    <row r="252" spans="3:11" ht="0.75" customHeight="1">
      <c r="C252" s="164"/>
      <c r="D252" s="165"/>
      <c r="E252" s="62"/>
      <c r="F252" s="157"/>
      <c r="G252" s="62"/>
      <c r="H252" s="62"/>
      <c r="I252" s="157"/>
      <c r="J252" s="62"/>
      <c r="K252" s="62"/>
    </row>
    <row r="253" spans="3:11" ht="0.75" customHeight="1">
      <c r="C253" s="164"/>
      <c r="D253" s="165"/>
      <c r="E253" s="62"/>
      <c r="F253" s="157"/>
      <c r="G253" s="62"/>
      <c r="H253" s="62"/>
      <c r="I253" s="157"/>
      <c r="J253" s="62"/>
      <c r="K253" s="62"/>
    </row>
    <row r="254" spans="3:11" ht="0.75" customHeight="1">
      <c r="C254" s="164"/>
      <c r="D254" s="165"/>
      <c r="E254" s="62"/>
      <c r="F254" s="157"/>
      <c r="G254" s="62"/>
      <c r="H254" s="62"/>
      <c r="I254" s="157"/>
      <c r="J254" s="62"/>
      <c r="K254" s="62"/>
    </row>
    <row r="255" spans="3:11" ht="0.75" customHeight="1">
      <c r="C255" s="164"/>
      <c r="D255" s="165"/>
      <c r="E255" s="62"/>
      <c r="F255" s="157"/>
      <c r="G255" s="62"/>
      <c r="H255" s="62"/>
      <c r="I255" s="157"/>
      <c r="J255" s="62"/>
      <c r="K255" s="62"/>
    </row>
    <row r="256" spans="3:11" ht="0.75" customHeight="1">
      <c r="C256" s="164"/>
      <c r="D256" s="165"/>
      <c r="E256" s="62"/>
      <c r="F256" s="157"/>
      <c r="G256" s="62"/>
      <c r="H256" s="62"/>
      <c r="I256" s="157"/>
      <c r="J256" s="62"/>
      <c r="K256" s="62"/>
    </row>
    <row r="257" spans="3:11" ht="0.75" customHeight="1">
      <c r="C257" s="164"/>
      <c r="D257" s="165"/>
      <c r="E257" s="62"/>
      <c r="F257" s="157"/>
      <c r="G257" s="62"/>
      <c r="H257" s="62"/>
      <c r="I257" s="157"/>
      <c r="J257" s="62"/>
      <c r="K257" s="62"/>
    </row>
    <row r="258" spans="3:11" ht="0.75" customHeight="1">
      <c r="C258" s="164"/>
      <c r="D258" s="165"/>
      <c r="E258" s="62"/>
      <c r="F258" s="157"/>
      <c r="G258" s="62"/>
      <c r="H258" s="62"/>
      <c r="I258" s="157"/>
      <c r="J258" s="62"/>
      <c r="K258" s="62"/>
    </row>
    <row r="259" spans="3:11" ht="0.75" customHeight="1">
      <c r="C259" s="164"/>
      <c r="D259" s="165"/>
      <c r="E259" s="62"/>
      <c r="F259" s="157"/>
      <c r="G259" s="62"/>
      <c r="H259" s="62"/>
      <c r="I259" s="157"/>
      <c r="J259" s="62"/>
      <c r="K259" s="62"/>
    </row>
    <row r="260" spans="3:11" ht="0.75" customHeight="1">
      <c r="C260" s="164"/>
      <c r="D260" s="165"/>
      <c r="E260" s="62"/>
      <c r="F260" s="157"/>
      <c r="G260" s="62"/>
      <c r="H260" s="62"/>
      <c r="I260" s="157"/>
      <c r="J260" s="62"/>
      <c r="K260" s="62"/>
    </row>
    <row r="261" spans="3:11" ht="0.75" customHeight="1">
      <c r="C261" s="164"/>
      <c r="D261" s="165"/>
      <c r="E261" s="62"/>
      <c r="F261" s="157"/>
      <c r="G261" s="62"/>
      <c r="H261" s="62"/>
      <c r="I261" s="157"/>
      <c r="J261" s="62"/>
      <c r="K261" s="62"/>
    </row>
    <row r="262" spans="3:11" ht="0.75" customHeight="1">
      <c r="C262" s="164"/>
      <c r="D262" s="165"/>
      <c r="E262" s="62"/>
      <c r="F262" s="157"/>
      <c r="G262" s="62"/>
      <c r="H262" s="62"/>
      <c r="I262" s="157"/>
      <c r="J262" s="62"/>
      <c r="K262" s="62"/>
    </row>
    <row r="263" spans="3:11" ht="0.75" customHeight="1">
      <c r="C263" s="164"/>
      <c r="D263" s="165"/>
      <c r="E263" s="62"/>
      <c r="F263" s="157"/>
      <c r="G263" s="62"/>
      <c r="H263" s="62"/>
      <c r="I263" s="157"/>
      <c r="J263" s="62"/>
      <c r="K263" s="62"/>
    </row>
    <row r="264" spans="3:11" ht="0.75" customHeight="1">
      <c r="C264" s="164"/>
      <c r="D264" s="165"/>
      <c r="E264" s="62"/>
      <c r="F264" s="157"/>
      <c r="G264" s="62"/>
      <c r="H264" s="62"/>
      <c r="I264" s="157"/>
      <c r="J264" s="62"/>
      <c r="K264" s="62"/>
    </row>
    <row r="265" spans="3:11" ht="0.75" customHeight="1">
      <c r="C265" s="164"/>
      <c r="D265" s="165"/>
      <c r="E265" s="62"/>
      <c r="F265" s="157"/>
      <c r="G265" s="62"/>
      <c r="H265" s="62"/>
      <c r="I265" s="157"/>
      <c r="J265" s="62"/>
      <c r="K265" s="62"/>
    </row>
    <row r="266" spans="3:11" ht="0.75" customHeight="1">
      <c r="C266" s="164"/>
      <c r="D266" s="165"/>
      <c r="E266" s="62"/>
      <c r="F266" s="157"/>
      <c r="G266" s="62"/>
      <c r="H266" s="62"/>
      <c r="I266" s="157"/>
      <c r="J266" s="62"/>
      <c r="K266" s="62"/>
    </row>
    <row r="267" spans="3:11" ht="0.75" customHeight="1">
      <c r="C267" s="164"/>
      <c r="D267" s="165"/>
      <c r="E267" s="62"/>
      <c r="F267" s="157"/>
      <c r="G267" s="62"/>
      <c r="H267" s="62"/>
      <c r="I267" s="157"/>
      <c r="J267" s="62"/>
      <c r="K267" s="62"/>
    </row>
    <row r="268" spans="3:11" ht="0.75" customHeight="1">
      <c r="C268" s="164"/>
      <c r="D268" s="165"/>
      <c r="E268" s="62"/>
      <c r="F268" s="157"/>
      <c r="G268" s="62"/>
      <c r="H268" s="62"/>
      <c r="I268" s="157"/>
      <c r="J268" s="62"/>
      <c r="K268" s="62"/>
    </row>
    <row r="269" spans="3:11" ht="0.75" customHeight="1">
      <c r="C269" s="164"/>
      <c r="D269" s="165"/>
      <c r="E269" s="62"/>
      <c r="F269" s="157"/>
      <c r="G269" s="62"/>
      <c r="H269" s="62"/>
      <c r="I269" s="157"/>
      <c r="J269" s="62"/>
      <c r="K269" s="62"/>
    </row>
    <row r="270" spans="3:11" ht="0.75" customHeight="1">
      <c r="C270" s="164"/>
      <c r="D270" s="165"/>
      <c r="E270" s="62"/>
      <c r="F270" s="157"/>
      <c r="G270" s="62"/>
      <c r="H270" s="62"/>
      <c r="I270" s="157"/>
      <c r="J270" s="62"/>
      <c r="K270" s="62"/>
    </row>
    <row r="271" spans="3:11" ht="0.75" customHeight="1">
      <c r="C271" s="164"/>
      <c r="D271" s="165"/>
      <c r="E271" s="62"/>
      <c r="F271" s="157"/>
      <c r="G271" s="62"/>
      <c r="H271" s="62"/>
      <c r="I271" s="157"/>
      <c r="J271" s="62"/>
      <c r="K271" s="62"/>
    </row>
    <row r="272" spans="3:11" ht="0.75" customHeight="1">
      <c r="C272" s="164"/>
      <c r="D272" s="165"/>
      <c r="E272" s="62"/>
      <c r="F272" s="157"/>
      <c r="G272" s="62"/>
      <c r="H272" s="62"/>
      <c r="I272" s="157"/>
      <c r="J272" s="62"/>
      <c r="K272" s="62"/>
    </row>
    <row r="273" spans="3:11" ht="0.75" customHeight="1">
      <c r="C273" s="164"/>
      <c r="D273" s="165"/>
      <c r="E273" s="62"/>
      <c r="F273" s="157"/>
      <c r="G273" s="62"/>
      <c r="H273" s="62"/>
      <c r="I273" s="157"/>
      <c r="J273" s="62"/>
      <c r="K273" s="62"/>
    </row>
    <row r="274" spans="3:11" ht="0.75" customHeight="1">
      <c r="C274" s="164"/>
      <c r="D274" s="165"/>
      <c r="E274" s="62"/>
      <c r="F274" s="157"/>
      <c r="G274" s="62"/>
      <c r="H274" s="62"/>
      <c r="I274" s="157"/>
      <c r="J274" s="62"/>
      <c r="K274" s="62"/>
    </row>
    <row r="275" spans="3:11" ht="0.75" customHeight="1">
      <c r="C275" s="164"/>
      <c r="D275" s="165"/>
      <c r="E275" s="62"/>
      <c r="F275" s="157"/>
      <c r="G275" s="62"/>
      <c r="H275" s="62"/>
      <c r="I275" s="157"/>
      <c r="J275" s="62"/>
      <c r="K275" s="62"/>
    </row>
    <row r="276" spans="3:11" ht="0.75" customHeight="1">
      <c r="C276" s="164"/>
      <c r="D276" s="165"/>
      <c r="E276" s="62"/>
      <c r="F276" s="157"/>
      <c r="G276" s="62"/>
      <c r="H276" s="62"/>
      <c r="I276" s="157"/>
      <c r="J276" s="62"/>
      <c r="K276" s="62"/>
    </row>
    <row r="277" spans="3:11" ht="0.75" customHeight="1">
      <c r="C277" s="164"/>
      <c r="D277" s="165"/>
      <c r="E277" s="62"/>
      <c r="F277" s="157"/>
      <c r="G277" s="62"/>
      <c r="H277" s="62"/>
      <c r="I277" s="157"/>
      <c r="J277" s="62"/>
      <c r="K277" s="62"/>
    </row>
    <row r="278" spans="3:11" ht="0.75" customHeight="1">
      <c r="C278" s="164"/>
      <c r="D278" s="165"/>
      <c r="E278" s="62"/>
      <c r="F278" s="157"/>
      <c r="G278" s="62"/>
      <c r="H278" s="62"/>
      <c r="I278" s="157"/>
      <c r="J278" s="62"/>
      <c r="K278" s="62"/>
    </row>
    <row r="279" spans="3:11" ht="0.75" customHeight="1">
      <c r="C279" s="164"/>
      <c r="D279" s="165"/>
      <c r="E279" s="62"/>
      <c r="F279" s="157"/>
      <c r="G279" s="62"/>
      <c r="H279" s="62"/>
      <c r="I279" s="157"/>
      <c r="J279" s="62"/>
      <c r="K279" s="62"/>
    </row>
    <row r="280" spans="3:11" ht="0.75" customHeight="1">
      <c r="C280" s="164"/>
      <c r="D280" s="165"/>
      <c r="E280" s="62"/>
      <c r="F280" s="157"/>
      <c r="G280" s="62"/>
      <c r="H280" s="62"/>
      <c r="I280" s="157"/>
      <c r="J280" s="62"/>
      <c r="K280" s="62"/>
    </row>
    <row r="281" spans="3:11" ht="0.75" customHeight="1">
      <c r="C281" s="164"/>
      <c r="D281" s="165"/>
      <c r="E281" s="62"/>
      <c r="F281" s="157"/>
      <c r="G281" s="62"/>
      <c r="H281" s="62"/>
      <c r="I281" s="157"/>
      <c r="J281" s="62"/>
      <c r="K281" s="62"/>
    </row>
    <row r="282" spans="3:11" ht="0.75" customHeight="1">
      <c r="C282" s="164"/>
      <c r="D282" s="165"/>
      <c r="E282" s="62"/>
      <c r="F282" s="157"/>
      <c r="G282" s="62"/>
      <c r="H282" s="62"/>
      <c r="I282" s="157"/>
      <c r="J282" s="62"/>
      <c r="K282" s="62"/>
    </row>
    <row r="283" spans="3:11" ht="0.75" customHeight="1">
      <c r="C283" s="164"/>
      <c r="D283" s="165"/>
      <c r="E283" s="62"/>
      <c r="F283" s="157"/>
      <c r="G283" s="62"/>
      <c r="H283" s="62"/>
      <c r="I283" s="157"/>
      <c r="J283" s="62"/>
      <c r="K283" s="62"/>
    </row>
    <row r="284" spans="3:11" ht="0.75" customHeight="1">
      <c r="C284" s="164"/>
      <c r="D284" s="165"/>
      <c r="E284" s="62"/>
      <c r="F284" s="157"/>
      <c r="G284" s="62"/>
      <c r="H284" s="62"/>
      <c r="I284" s="157"/>
      <c r="J284" s="62"/>
      <c r="K284" s="62"/>
    </row>
    <row r="285" spans="3:11" ht="0.75" customHeight="1">
      <c r="C285" s="164"/>
      <c r="D285" s="165"/>
      <c r="E285" s="62"/>
      <c r="F285" s="157"/>
      <c r="G285" s="62"/>
      <c r="H285" s="62"/>
      <c r="I285" s="157"/>
      <c r="J285" s="62"/>
      <c r="K285" s="62"/>
    </row>
  </sheetData>
  <printOptions/>
  <pageMargins left="0.3" right="0.3" top="0.7" bottom="0.7" header="0.5" footer="0.5"/>
  <pageSetup orientation="landscape" paperSize="9" scale="70"/>
  <drawing r:id="rId3"/>
  <legacyDrawing r:id="rId2"/>
  <oleObjects>
    <oleObject progId="Equation.3" shapeId="14446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D1">
      <selection activeCell="N41" sqref="N41"/>
    </sheetView>
  </sheetViews>
  <sheetFormatPr defaultColWidth="11.421875" defaultRowHeight="12.75"/>
  <cols>
    <col min="2" max="2" width="12.421875" style="0" bestFit="1" customWidth="1"/>
    <col min="4" max="4" width="11.8515625" style="0" bestFit="1" customWidth="1"/>
    <col min="6" max="6" width="5.421875" style="17" customWidth="1"/>
    <col min="7" max="7" width="8.8515625" style="17" customWidth="1"/>
    <col min="8" max="8" width="10.28125" style="17" customWidth="1"/>
    <col min="9" max="9" width="6.7109375" style="0" bestFit="1" customWidth="1"/>
  </cols>
  <sheetData>
    <row r="1" spans="2:11" ht="12">
      <c r="B1" t="s">
        <v>39</v>
      </c>
      <c r="C1" s="15" t="s">
        <v>40</v>
      </c>
      <c r="D1" t="s">
        <v>41</v>
      </c>
      <c r="G1" s="17" t="s">
        <v>45</v>
      </c>
      <c r="H1" s="17" t="s">
        <v>46</v>
      </c>
      <c r="I1" s="15" t="s">
        <v>47</v>
      </c>
      <c r="K1" s="15" t="s">
        <v>23</v>
      </c>
    </row>
    <row r="2" spans="1:11" ht="12">
      <c r="A2" s="2" t="s">
        <v>119</v>
      </c>
      <c r="B2" s="14">
        <v>30878</v>
      </c>
      <c r="C2" s="14">
        <v>53786</v>
      </c>
      <c r="D2" s="16">
        <f>C2/B2</f>
        <v>1.7418874279422243</v>
      </c>
      <c r="F2" s="18" t="s">
        <v>118</v>
      </c>
      <c r="G2" s="19">
        <v>338</v>
      </c>
      <c r="H2" s="19">
        <v>157.1</v>
      </c>
      <c r="I2" s="20">
        <f>H2/G2</f>
        <v>0.464792899408284</v>
      </c>
      <c r="K2" s="19">
        <v>272.9</v>
      </c>
    </row>
    <row r="3" spans="1:11" ht="12">
      <c r="A3" s="2" t="s">
        <v>120</v>
      </c>
      <c r="B3" s="14">
        <v>30922</v>
      </c>
      <c r="C3" s="14">
        <v>54871</v>
      </c>
      <c r="D3" s="16">
        <f aca="true" t="shared" si="0" ref="D3:D43">C3/B3</f>
        <v>1.7744971217903112</v>
      </c>
      <c r="F3" s="18" t="s">
        <v>119</v>
      </c>
      <c r="G3" s="19">
        <v>345.7</v>
      </c>
      <c r="H3" s="19">
        <v>165.4</v>
      </c>
      <c r="I3" s="20">
        <f aca="true" t="shared" si="1" ref="I3:I44">H3/G3</f>
        <v>0.4784495227075499</v>
      </c>
      <c r="K3" s="19">
        <v>272.8</v>
      </c>
    </row>
    <row r="4" spans="1:11" ht="12">
      <c r="A4" s="2" t="s">
        <v>121</v>
      </c>
      <c r="B4" s="14">
        <v>33358</v>
      </c>
      <c r="C4" s="14">
        <v>58172</v>
      </c>
      <c r="D4" s="16">
        <f t="shared" si="0"/>
        <v>1.7438695365429582</v>
      </c>
      <c r="F4" s="18" t="s">
        <v>120</v>
      </c>
      <c r="G4" s="19">
        <v>356.4</v>
      </c>
      <c r="H4" s="19">
        <v>172.6</v>
      </c>
      <c r="I4" s="20">
        <f t="shared" si="1"/>
        <v>0.48428731762065097</v>
      </c>
      <c r="K4" s="19">
        <v>271</v>
      </c>
    </row>
    <row r="5" spans="1:11" ht="12">
      <c r="A5" s="2" t="s">
        <v>122</v>
      </c>
      <c r="B5" s="14">
        <v>35058</v>
      </c>
      <c r="C5" s="14">
        <v>60029</v>
      </c>
      <c r="D5" s="16">
        <f t="shared" si="0"/>
        <v>1.7122767984482856</v>
      </c>
      <c r="F5" s="18" t="s">
        <v>121</v>
      </c>
      <c r="G5" s="19">
        <v>389.4</v>
      </c>
      <c r="H5" s="19">
        <v>181.4</v>
      </c>
      <c r="I5" s="20">
        <f t="shared" si="1"/>
        <v>0.4658448895737032</v>
      </c>
      <c r="K5" s="19">
        <v>305.3</v>
      </c>
    </row>
    <row r="6" spans="1:11" ht="12">
      <c r="A6" s="2" t="s">
        <v>123</v>
      </c>
      <c r="B6" s="14">
        <v>37331</v>
      </c>
      <c r="C6" s="14">
        <v>63410</v>
      </c>
      <c r="D6" s="16">
        <f t="shared" si="0"/>
        <v>1.698588304626182</v>
      </c>
      <c r="F6" s="18" t="s">
        <v>122</v>
      </c>
      <c r="G6" s="19">
        <v>412.7</v>
      </c>
      <c r="H6" s="19">
        <v>189.7</v>
      </c>
      <c r="I6" s="20">
        <f t="shared" si="1"/>
        <v>0.45965592440029074</v>
      </c>
      <c r="K6" s="19">
        <v>325.7</v>
      </c>
    </row>
    <row r="7" spans="1:11" ht="12">
      <c r="A7" s="2" t="s">
        <v>124</v>
      </c>
      <c r="B7" s="14">
        <v>40995</v>
      </c>
      <c r="C7" s="14">
        <v>68207</v>
      </c>
      <c r="D7" s="16">
        <f t="shared" si="0"/>
        <v>1.6637882668618125</v>
      </c>
      <c r="F7" s="18" t="s">
        <v>123</v>
      </c>
      <c r="G7" s="19">
        <v>443.1</v>
      </c>
      <c r="H7" s="19">
        <v>199.8</v>
      </c>
      <c r="I7" s="20">
        <f t="shared" si="1"/>
        <v>0.45091401489505756</v>
      </c>
      <c r="K7" s="19">
        <v>352.6</v>
      </c>
    </row>
    <row r="8" spans="1:11" ht="12">
      <c r="A8" s="2" t="s">
        <v>125</v>
      </c>
      <c r="B8" s="14">
        <v>44870</v>
      </c>
      <c r="C8" s="14">
        <v>77986</v>
      </c>
      <c r="D8" s="16">
        <f t="shared" si="0"/>
        <v>1.738043236015155</v>
      </c>
      <c r="F8" s="18" t="s">
        <v>124</v>
      </c>
      <c r="G8" s="19">
        <v>492.2</v>
      </c>
      <c r="H8" s="19">
        <v>211.7</v>
      </c>
      <c r="I8" s="20">
        <f t="shared" si="1"/>
        <v>0.4301097114993905</v>
      </c>
      <c r="K8" s="19">
        <v>402</v>
      </c>
    </row>
    <row r="9" spans="1:11" ht="12">
      <c r="A9" s="2" t="s">
        <v>126</v>
      </c>
      <c r="B9" s="14">
        <v>46486</v>
      </c>
      <c r="C9" s="14">
        <v>84646</v>
      </c>
      <c r="D9" s="16">
        <f t="shared" si="0"/>
        <v>1.8208923116637268</v>
      </c>
      <c r="F9" s="18" t="s">
        <v>125</v>
      </c>
      <c r="G9" s="19">
        <v>554.2</v>
      </c>
      <c r="H9" s="19">
        <v>230.3</v>
      </c>
      <c r="I9" s="20">
        <f t="shared" si="1"/>
        <v>0.4155539516420065</v>
      </c>
      <c r="K9" s="19">
        <v>437.3</v>
      </c>
    </row>
    <row r="10" spans="1:11" ht="12">
      <c r="A10" s="2" t="s">
        <v>127</v>
      </c>
      <c r="B10" s="14">
        <v>50229</v>
      </c>
      <c r="C10" s="14">
        <v>90560</v>
      </c>
      <c r="D10" s="16">
        <f t="shared" si="0"/>
        <v>1.8029425232435445</v>
      </c>
      <c r="F10" s="18" t="s">
        <v>126</v>
      </c>
      <c r="G10" s="19">
        <v>575.4</v>
      </c>
      <c r="H10" s="19">
        <v>247.6</v>
      </c>
      <c r="I10" s="20">
        <f t="shared" si="1"/>
        <v>0.43030935001737924</v>
      </c>
      <c r="K10" s="19">
        <v>417.2</v>
      </c>
    </row>
    <row r="11" spans="1:11" ht="12">
      <c r="A11" s="2" t="s">
        <v>128</v>
      </c>
      <c r="B11" s="14">
        <v>53501</v>
      </c>
      <c r="C11" s="14">
        <v>98145</v>
      </c>
      <c r="D11" s="16">
        <f t="shared" si="0"/>
        <v>1.8344516924917291</v>
      </c>
      <c r="F11" s="18" t="s">
        <v>127</v>
      </c>
      <c r="G11" s="19">
        <v>631.9</v>
      </c>
      <c r="H11" s="19">
        <v>265.9</v>
      </c>
      <c r="I11" s="20">
        <f t="shared" si="1"/>
        <v>0.42079442949833834</v>
      </c>
      <c r="K11" s="19">
        <v>441.3</v>
      </c>
    </row>
    <row r="12" spans="1:11" ht="12">
      <c r="A12" s="2" t="s">
        <v>129</v>
      </c>
      <c r="B12" s="14">
        <v>52805</v>
      </c>
      <c r="C12" s="14">
        <v>101599</v>
      </c>
      <c r="D12" s="16">
        <f t="shared" si="0"/>
        <v>1.924041283969321</v>
      </c>
      <c r="F12" s="18" t="s">
        <v>128</v>
      </c>
      <c r="G12" s="19">
        <v>694.6</v>
      </c>
      <c r="H12" s="19">
        <v>289.9</v>
      </c>
      <c r="I12" s="20">
        <f t="shared" si="1"/>
        <v>0.4173625107975813</v>
      </c>
      <c r="K12" s="19">
        <v>466.9</v>
      </c>
    </row>
    <row r="13" spans="1:11" ht="12">
      <c r="A13" s="2" t="s">
        <v>130</v>
      </c>
      <c r="B13" s="14">
        <v>55906</v>
      </c>
      <c r="C13" s="14">
        <v>102567</v>
      </c>
      <c r="D13" s="16">
        <f t="shared" si="0"/>
        <v>1.8346331341895323</v>
      </c>
      <c r="F13" s="18" t="s">
        <v>129</v>
      </c>
      <c r="G13" s="19">
        <v>708.8</v>
      </c>
      <c r="H13" s="19">
        <v>306.8</v>
      </c>
      <c r="I13" s="20">
        <f t="shared" si="1"/>
        <v>0.4328442437923251</v>
      </c>
      <c r="K13" s="19">
        <v>436.2</v>
      </c>
    </row>
    <row r="14" spans="1:11" ht="12">
      <c r="A14" s="2" t="s">
        <v>131</v>
      </c>
      <c r="B14" s="14">
        <v>63027</v>
      </c>
      <c r="C14" s="14">
        <v>108121</v>
      </c>
      <c r="D14" s="16">
        <f t="shared" si="0"/>
        <v>1.7154711472860837</v>
      </c>
      <c r="F14" s="18" t="s">
        <v>130</v>
      </c>
      <c r="G14" s="19">
        <v>751.1</v>
      </c>
      <c r="H14" s="19">
        <v>320.8</v>
      </c>
      <c r="I14" s="20">
        <f t="shared" si="1"/>
        <v>0.42710690986553057</v>
      </c>
      <c r="K14" s="19">
        <v>485.8</v>
      </c>
    </row>
    <row r="15" spans="1:11" ht="12">
      <c r="A15" s="2" t="s">
        <v>132</v>
      </c>
      <c r="B15" s="14">
        <v>72931</v>
      </c>
      <c r="C15" s="14">
        <v>124499</v>
      </c>
      <c r="D15" s="16">
        <f t="shared" si="0"/>
        <v>1.7070792941273258</v>
      </c>
      <c r="F15" s="18" t="s">
        <v>131</v>
      </c>
      <c r="G15" s="19">
        <v>849.5</v>
      </c>
      <c r="H15" s="19">
        <v>343.4</v>
      </c>
      <c r="I15" s="20">
        <f t="shared" si="1"/>
        <v>0.4042377869334903</v>
      </c>
      <c r="K15" s="19">
        <v>543</v>
      </c>
    </row>
    <row r="16" spans="1:11" ht="12">
      <c r="A16" s="2" t="s">
        <v>133</v>
      </c>
      <c r="B16" s="14">
        <v>84790</v>
      </c>
      <c r="C16" s="14">
        <v>157625</v>
      </c>
      <c r="D16" s="16">
        <f t="shared" si="0"/>
        <v>1.8590045995990092</v>
      </c>
      <c r="F16" s="18" t="s">
        <v>132</v>
      </c>
      <c r="G16" s="19">
        <v>1017.2</v>
      </c>
      <c r="H16" s="19">
        <v>374.1</v>
      </c>
      <c r="I16" s="20">
        <f t="shared" si="1"/>
        <v>0.3677742823436886</v>
      </c>
      <c r="K16" s="19">
        <v>606.5</v>
      </c>
    </row>
    <row r="17" spans="1:11" ht="12">
      <c r="A17" s="2" t="s">
        <v>134</v>
      </c>
      <c r="B17" s="14">
        <v>86589</v>
      </c>
      <c r="C17" s="14">
        <v>159708</v>
      </c>
      <c r="D17" s="16">
        <f t="shared" si="0"/>
        <v>1.8444375151578145</v>
      </c>
      <c r="F17" s="18" t="s">
        <v>133</v>
      </c>
      <c r="G17" s="19">
        <v>1060.6</v>
      </c>
      <c r="H17" s="19">
        <v>395</v>
      </c>
      <c r="I17" s="20">
        <f t="shared" si="1"/>
        <v>0.3724306996039978</v>
      </c>
      <c r="K17" s="19">
        <v>561.7</v>
      </c>
    </row>
    <row r="18" spans="1:11" ht="12">
      <c r="A18" s="2" t="s">
        <v>135</v>
      </c>
      <c r="B18" s="14">
        <v>98797</v>
      </c>
      <c r="C18" s="14">
        <v>174636</v>
      </c>
      <c r="D18" s="16">
        <f t="shared" si="0"/>
        <v>1.7676245230118324</v>
      </c>
      <c r="F18" s="18" t="s">
        <v>134</v>
      </c>
      <c r="G18" s="19">
        <v>1065.2</v>
      </c>
      <c r="H18" s="19">
        <v>423.4</v>
      </c>
      <c r="I18" s="20">
        <f t="shared" si="1"/>
        <v>0.39748404055576414</v>
      </c>
      <c r="K18" s="19">
        <v>462.2</v>
      </c>
    </row>
    <row r="19" spans="1:11" ht="12">
      <c r="A19" s="2" t="s">
        <v>136</v>
      </c>
      <c r="B19" s="14">
        <v>113201</v>
      </c>
      <c r="C19" s="14">
        <v>188378</v>
      </c>
      <c r="D19" s="16">
        <f t="shared" si="0"/>
        <v>1.664101907226968</v>
      </c>
      <c r="F19" s="18" t="s">
        <v>135</v>
      </c>
      <c r="G19" s="19">
        <v>1203.2</v>
      </c>
      <c r="H19" s="19">
        <v>462.7</v>
      </c>
      <c r="I19" s="20">
        <f t="shared" si="1"/>
        <v>0.3845578457446808</v>
      </c>
      <c r="K19" s="19">
        <v>555.5</v>
      </c>
    </row>
    <row r="20" spans="1:11" ht="12">
      <c r="A20" s="2" t="s">
        <v>137</v>
      </c>
      <c r="B20" s="14">
        <v>126905</v>
      </c>
      <c r="C20" s="14">
        <v>211691</v>
      </c>
      <c r="D20" s="16">
        <f t="shared" si="0"/>
        <v>1.668106063590875</v>
      </c>
      <c r="F20" s="18" t="s">
        <v>136</v>
      </c>
      <c r="G20" s="19">
        <v>1328.1</v>
      </c>
      <c r="H20" s="19">
        <v>496.7</v>
      </c>
      <c r="I20" s="20">
        <f t="shared" si="1"/>
        <v>0.37399292221971236</v>
      </c>
      <c r="K20" s="19">
        <v>639.4</v>
      </c>
    </row>
    <row r="21" spans="1:11" ht="12">
      <c r="A21" s="2" t="s">
        <v>138</v>
      </c>
      <c r="B21" s="14">
        <v>143936</v>
      </c>
      <c r="C21" s="14">
        <v>242157</v>
      </c>
      <c r="D21" s="16">
        <f t="shared" si="0"/>
        <v>1.682393563806136</v>
      </c>
      <c r="F21" s="18" t="s">
        <v>137</v>
      </c>
      <c r="G21" s="19">
        <v>1496.4</v>
      </c>
      <c r="H21" s="19">
        <v>540.5</v>
      </c>
      <c r="I21" s="20">
        <f t="shared" si="1"/>
        <v>0.3612002138465651</v>
      </c>
      <c r="K21" s="19">
        <v>713</v>
      </c>
    </row>
    <row r="22" spans="1:11" ht="12">
      <c r="A22" s="2" t="s">
        <v>139</v>
      </c>
      <c r="B22" s="14">
        <v>154391</v>
      </c>
      <c r="C22" s="14">
        <v>265215</v>
      </c>
      <c r="D22" s="16">
        <f t="shared" si="0"/>
        <v>1.7178138622069938</v>
      </c>
      <c r="F22" s="18" t="s">
        <v>138</v>
      </c>
      <c r="G22" s="19">
        <v>1741.8</v>
      </c>
      <c r="H22" s="19">
        <v>600.5</v>
      </c>
      <c r="I22" s="20">
        <f t="shared" si="1"/>
        <v>0.34475829601561603</v>
      </c>
      <c r="K22" s="19">
        <v>735.4</v>
      </c>
    </row>
    <row r="23" spans="1:11" ht="12">
      <c r="A23" s="2" t="s">
        <v>140</v>
      </c>
      <c r="B23" s="14">
        <v>168129</v>
      </c>
      <c r="C23" s="14">
        <v>283413</v>
      </c>
      <c r="D23" s="16">
        <f t="shared" si="0"/>
        <v>1.6856877754581303</v>
      </c>
      <c r="F23" s="18" t="s">
        <v>139</v>
      </c>
      <c r="G23" s="19">
        <v>1912.8</v>
      </c>
      <c r="H23" s="19">
        <v>668.1</v>
      </c>
      <c r="I23" s="20">
        <f t="shared" si="1"/>
        <v>0.34927854454203267</v>
      </c>
      <c r="K23" s="19">
        <v>655.3</v>
      </c>
    </row>
    <row r="24" spans="1:11" ht="12">
      <c r="A24" s="2" t="s">
        <v>141</v>
      </c>
      <c r="B24" s="14">
        <v>163351</v>
      </c>
      <c r="C24" s="14">
        <v>311852</v>
      </c>
      <c r="D24" s="16">
        <f t="shared" si="0"/>
        <v>1.9090914656169844</v>
      </c>
      <c r="F24" s="18" t="s">
        <v>140</v>
      </c>
      <c r="G24" s="19">
        <v>2144.7</v>
      </c>
      <c r="H24" s="19">
        <v>743.4</v>
      </c>
      <c r="I24" s="20">
        <f t="shared" si="1"/>
        <v>0.34662190516156105</v>
      </c>
      <c r="K24" s="19">
        <v>715.6</v>
      </c>
    </row>
    <row r="25" spans="1:11" ht="12">
      <c r="A25" s="2" t="s">
        <v>142</v>
      </c>
      <c r="B25" s="14">
        <v>172547</v>
      </c>
      <c r="C25" s="14">
        <v>312379</v>
      </c>
      <c r="D25" s="16">
        <f t="shared" si="0"/>
        <v>1.8103994853576126</v>
      </c>
      <c r="F25" s="18" t="s">
        <v>141</v>
      </c>
      <c r="G25" s="19">
        <v>2039.4</v>
      </c>
      <c r="H25" s="19">
        <v>770.2</v>
      </c>
      <c r="I25" s="20">
        <f t="shared" si="1"/>
        <v>0.37766009610669804</v>
      </c>
      <c r="K25" s="19">
        <v>615.2</v>
      </c>
    </row>
    <row r="26" spans="1:11" ht="12">
      <c r="A26" s="2" t="s">
        <v>143</v>
      </c>
      <c r="B26" s="14">
        <v>190682</v>
      </c>
      <c r="C26" s="14">
        <v>339516</v>
      </c>
      <c r="D26" s="16">
        <f t="shared" si="0"/>
        <v>1.7805351317901008</v>
      </c>
      <c r="F26" s="18" t="s">
        <v>142</v>
      </c>
      <c r="G26" s="19">
        <v>2114.3</v>
      </c>
      <c r="H26" s="19">
        <v>812.8</v>
      </c>
      <c r="I26" s="20">
        <f t="shared" si="1"/>
        <v>0.3844298349335477</v>
      </c>
      <c r="K26" s="19">
        <v>673.7</v>
      </c>
    </row>
    <row r="27" spans="1:11" ht="12">
      <c r="A27" s="2" t="s">
        <v>144</v>
      </c>
      <c r="B27" s="14">
        <v>194538</v>
      </c>
      <c r="C27" s="14">
        <v>334749</v>
      </c>
      <c r="D27" s="16">
        <f t="shared" si="0"/>
        <v>1.7207383647410788</v>
      </c>
      <c r="F27" s="18" t="s">
        <v>143</v>
      </c>
      <c r="G27" s="19">
        <v>2335</v>
      </c>
      <c r="H27" s="19">
        <v>864.2</v>
      </c>
      <c r="I27" s="20">
        <f t="shared" si="1"/>
        <v>0.3701070663811563</v>
      </c>
      <c r="K27" s="19">
        <v>871.5</v>
      </c>
    </row>
    <row r="28" spans="1:11" ht="12">
      <c r="A28" s="2" t="s">
        <v>162</v>
      </c>
      <c r="B28" s="14">
        <v>194657</v>
      </c>
      <c r="C28" s="14">
        <v>322654</v>
      </c>
      <c r="D28" s="16">
        <f t="shared" si="0"/>
        <v>1.6575514880019726</v>
      </c>
      <c r="F28" s="18" t="s">
        <v>144</v>
      </c>
      <c r="G28" s="19">
        <v>2331.4</v>
      </c>
      <c r="H28" s="19">
        <v>866.2</v>
      </c>
      <c r="I28" s="20">
        <f t="shared" si="1"/>
        <v>0.3715364158874496</v>
      </c>
      <c r="K28" s="19">
        <v>863.4</v>
      </c>
    </row>
    <row r="29" spans="1:11" ht="12">
      <c r="A29" s="2" t="s">
        <v>145</v>
      </c>
      <c r="B29" s="14">
        <v>206326</v>
      </c>
      <c r="C29" s="14">
        <v>338109</v>
      </c>
      <c r="D29" s="16">
        <f t="shared" si="0"/>
        <v>1.6387125229006523</v>
      </c>
      <c r="F29" s="18" t="s">
        <v>162</v>
      </c>
      <c r="G29" s="19">
        <v>2220.9</v>
      </c>
      <c r="H29" s="19">
        <v>874.7</v>
      </c>
      <c r="I29" s="20">
        <f t="shared" si="1"/>
        <v>0.39384934035751273</v>
      </c>
      <c r="K29" s="19">
        <v>857.7</v>
      </c>
    </row>
    <row r="30" spans="1:11" ht="12">
      <c r="A30" s="2" t="s">
        <v>146</v>
      </c>
      <c r="B30" s="14">
        <v>224619</v>
      </c>
      <c r="C30" s="14">
        <v>369374</v>
      </c>
      <c r="D30" s="16">
        <f t="shared" si="0"/>
        <v>1.6444468188354502</v>
      </c>
      <c r="F30" s="18" t="s">
        <v>145</v>
      </c>
      <c r="G30" s="19">
        <v>2378.2</v>
      </c>
      <c r="H30" s="19">
        <v>900.9</v>
      </c>
      <c r="I30" s="20">
        <f t="shared" si="1"/>
        <v>0.3788159111933395</v>
      </c>
      <c r="K30" s="19">
        <v>879.3</v>
      </c>
    </row>
    <row r="31" spans="1:11" ht="12">
      <c r="A31" s="2" t="s">
        <v>147</v>
      </c>
      <c r="B31" s="14">
        <v>236698</v>
      </c>
      <c r="C31" s="14">
        <v>391212</v>
      </c>
      <c r="D31" s="16">
        <f t="shared" si="0"/>
        <v>1.6527896306686156</v>
      </c>
      <c r="F31" s="18" t="s">
        <v>42</v>
      </c>
      <c r="G31" s="19">
        <v>2596.2</v>
      </c>
      <c r="H31" s="19">
        <v>957.6</v>
      </c>
      <c r="I31" s="20">
        <f t="shared" si="1"/>
        <v>0.3688467760573146</v>
      </c>
      <c r="K31" s="19">
        <v>902.8</v>
      </c>
    </row>
    <row r="32" spans="1:11" ht="12">
      <c r="A32" s="2" t="s">
        <v>148</v>
      </c>
      <c r="B32" s="14">
        <v>242686</v>
      </c>
      <c r="C32" s="14">
        <v>405073</v>
      </c>
      <c r="D32" s="16">
        <f t="shared" si="0"/>
        <v>1.6691238884814121</v>
      </c>
      <c r="F32" s="18" t="s">
        <v>147</v>
      </c>
      <c r="G32" s="19">
        <v>2745.1</v>
      </c>
      <c r="H32" s="19">
        <v>999</v>
      </c>
      <c r="I32" s="20">
        <f t="shared" si="1"/>
        <v>0.3639211686277367</v>
      </c>
      <c r="K32" s="19">
        <v>936.5</v>
      </c>
    </row>
    <row r="33" spans="1:11" ht="12">
      <c r="A33" s="2" t="s">
        <v>149</v>
      </c>
      <c r="B33" s="14">
        <v>239847</v>
      </c>
      <c r="C33" s="14">
        <v>390950</v>
      </c>
      <c r="D33" s="16">
        <f t="shared" si="0"/>
        <v>1.6299974567119873</v>
      </c>
      <c r="F33" s="18" t="s">
        <v>148</v>
      </c>
      <c r="G33" s="19">
        <v>2810.7</v>
      </c>
      <c r="H33" s="19">
        <v>1043.8</v>
      </c>
      <c r="I33" s="20">
        <f t="shared" si="1"/>
        <v>0.3713665634895222</v>
      </c>
      <c r="K33" s="19">
        <v>907.3</v>
      </c>
    </row>
    <row r="34" spans="1:11" ht="12">
      <c r="A34" s="2" t="s">
        <v>163</v>
      </c>
      <c r="B34" s="14">
        <v>242002</v>
      </c>
      <c r="C34" s="14">
        <v>379440</v>
      </c>
      <c r="D34" s="16">
        <f t="shared" si="0"/>
        <v>1.5679209262733367</v>
      </c>
      <c r="F34" s="18" t="s">
        <v>149</v>
      </c>
      <c r="G34" s="19">
        <v>2761.1</v>
      </c>
      <c r="H34" s="19">
        <v>1064.1</v>
      </c>
      <c r="I34" s="20">
        <f t="shared" si="1"/>
        <v>0.3853898808445909</v>
      </c>
      <c r="K34" s="19">
        <v>829.5</v>
      </c>
    </row>
    <row r="35" spans="1:11" ht="12">
      <c r="A35" s="2" t="s">
        <v>164</v>
      </c>
      <c r="B35" s="14">
        <v>251708</v>
      </c>
      <c r="C35" s="14">
        <v>380316</v>
      </c>
      <c r="D35" s="16">
        <f t="shared" si="0"/>
        <v>1.5109412493842072</v>
      </c>
      <c r="F35" s="18" t="s">
        <v>43</v>
      </c>
      <c r="G35" s="19">
        <v>2890.2</v>
      </c>
      <c r="H35" s="19">
        <v>1034.7</v>
      </c>
      <c r="I35" s="20">
        <f t="shared" si="1"/>
        <v>0.35800290637326143</v>
      </c>
      <c r="K35" s="19">
        <v>899.8</v>
      </c>
    </row>
    <row r="36" spans="1:11" ht="12">
      <c r="A36" s="2" t="s">
        <v>150</v>
      </c>
      <c r="B36" s="14">
        <v>269843</v>
      </c>
      <c r="C36" s="14">
        <v>400527</v>
      </c>
      <c r="D36" s="16">
        <f t="shared" si="0"/>
        <v>1.4842964242170447</v>
      </c>
      <c r="F36" s="18" t="s">
        <v>164</v>
      </c>
      <c r="G36" s="19">
        <v>3015.1</v>
      </c>
      <c r="H36" s="19">
        <v>1039.7</v>
      </c>
      <c r="I36" s="20">
        <f t="shared" si="1"/>
        <v>0.34483101721335946</v>
      </c>
      <c r="K36" s="19">
        <v>977.9</v>
      </c>
    </row>
    <row r="37" spans="1:11" ht="12">
      <c r="A37" s="2" t="s">
        <v>165</v>
      </c>
      <c r="B37" s="14">
        <v>289973</v>
      </c>
      <c r="C37" s="14">
        <v>425337</v>
      </c>
      <c r="D37" s="16">
        <f t="shared" si="0"/>
        <v>1.4668158759608654</v>
      </c>
      <c r="F37" s="18" t="s">
        <v>150</v>
      </c>
      <c r="G37" s="19">
        <v>3255.8</v>
      </c>
      <c r="H37" s="19">
        <v>1110.1</v>
      </c>
      <c r="I37" s="20">
        <f t="shared" si="1"/>
        <v>0.34096074697462986</v>
      </c>
      <c r="K37" s="19">
        <v>1107</v>
      </c>
    </row>
    <row r="38" spans="1:11" ht="12">
      <c r="A38" s="2" t="s">
        <v>151</v>
      </c>
      <c r="B38" s="14">
        <v>299766</v>
      </c>
      <c r="C38" s="14">
        <v>430918</v>
      </c>
      <c r="D38" s="16">
        <f t="shared" si="0"/>
        <v>1.4375145947172128</v>
      </c>
      <c r="F38" s="18" t="s">
        <v>165</v>
      </c>
      <c r="G38" s="19">
        <v>3528.3</v>
      </c>
      <c r="H38" s="19">
        <v>1240.6</v>
      </c>
      <c r="I38" s="20">
        <f t="shared" si="1"/>
        <v>0.35161409177224157</v>
      </c>
      <c r="K38" s="19">
        <v>1140.6</v>
      </c>
    </row>
    <row r="39" spans="1:11" ht="12">
      <c r="A39" s="2" t="s">
        <v>35</v>
      </c>
      <c r="B39" s="14">
        <v>319558</v>
      </c>
      <c r="C39" s="14">
        <v>443818</v>
      </c>
      <c r="D39" s="16">
        <f t="shared" si="0"/>
        <v>1.388849598507939</v>
      </c>
      <c r="F39" s="18" t="s">
        <v>44</v>
      </c>
      <c r="G39" s="19">
        <v>3757.6</v>
      </c>
      <c r="H39" s="19">
        <v>1348</v>
      </c>
      <c r="I39" s="20">
        <f t="shared" si="1"/>
        <v>0.358739621034703</v>
      </c>
      <c r="K39" s="19">
        <v>1242.7</v>
      </c>
    </row>
    <row r="40" spans="1:11" ht="12">
      <c r="A40" s="2" t="s">
        <v>36</v>
      </c>
      <c r="B40" s="14">
        <v>324984</v>
      </c>
      <c r="C40" s="14">
        <v>452155</v>
      </c>
      <c r="D40" s="16">
        <f t="shared" si="0"/>
        <v>1.3913146493365827</v>
      </c>
      <c r="F40" s="18" t="s">
        <v>152</v>
      </c>
      <c r="G40" s="19">
        <v>3920</v>
      </c>
      <c r="H40" s="19">
        <v>1462.7</v>
      </c>
      <c r="I40" s="20">
        <f t="shared" si="1"/>
        <v>0.37313775510204084</v>
      </c>
      <c r="K40" s="19">
        <v>1393.3</v>
      </c>
    </row>
    <row r="41" spans="1:11" ht="12">
      <c r="A41" s="2" t="s">
        <v>37</v>
      </c>
      <c r="B41" s="14">
        <v>336940</v>
      </c>
      <c r="C41" s="14">
        <v>462474</v>
      </c>
      <c r="D41" s="16">
        <f t="shared" si="0"/>
        <v>1.3725707841158663</v>
      </c>
      <c r="F41" s="18" t="s">
        <v>36</v>
      </c>
      <c r="G41" s="19">
        <v>3949.4</v>
      </c>
      <c r="H41" s="19">
        <v>1482.9</v>
      </c>
      <c r="I41" s="20">
        <f t="shared" si="1"/>
        <v>0.37547475565908744</v>
      </c>
      <c r="K41" s="19">
        <v>1558</v>
      </c>
    </row>
    <row r="42" spans="1:11" ht="12">
      <c r="A42" s="2" t="s">
        <v>38</v>
      </c>
      <c r="B42" s="14">
        <v>356739</v>
      </c>
      <c r="C42" s="14">
        <v>483544</v>
      </c>
      <c r="D42" s="16">
        <f t="shared" si="0"/>
        <v>1.3554559495877938</v>
      </c>
      <c r="F42" s="18" t="s">
        <v>37</v>
      </c>
      <c r="G42" s="19">
        <v>4148.9</v>
      </c>
      <c r="H42" s="19">
        <v>1569.3</v>
      </c>
      <c r="I42" s="20">
        <f t="shared" si="1"/>
        <v>0.3782448359806214</v>
      </c>
      <c r="K42" s="19">
        <v>1660.1</v>
      </c>
    </row>
    <row r="43" spans="1:11" ht="12">
      <c r="A43" s="2">
        <v>2001</v>
      </c>
      <c r="B43" s="14">
        <v>327840</v>
      </c>
      <c r="C43" s="14">
        <v>455214</v>
      </c>
      <c r="D43" s="16">
        <f t="shared" si="0"/>
        <v>1.3885248901903366</v>
      </c>
      <c r="F43" s="18" t="s">
        <v>153</v>
      </c>
      <c r="G43" s="19">
        <v>4548.2</v>
      </c>
      <c r="H43" s="19">
        <v>1823.1</v>
      </c>
      <c r="I43" s="20">
        <f t="shared" si="1"/>
        <v>0.4008398927048063</v>
      </c>
      <c r="K43" s="19">
        <v>1772.9</v>
      </c>
    </row>
    <row r="44" spans="6:11" ht="12">
      <c r="F44" s="18">
        <v>2001</v>
      </c>
      <c r="G44" s="19">
        <v>4468.933333333333</v>
      </c>
      <c r="H44" s="19">
        <v>1913.2</v>
      </c>
      <c r="I44" s="20">
        <f t="shared" si="1"/>
        <v>0.4281111077960438</v>
      </c>
      <c r="K44" s="183">
        <v>1620.5</v>
      </c>
    </row>
    <row r="45" ht="12">
      <c r="K45" s="19"/>
    </row>
    <row r="46" ht="12">
      <c r="K46" s="19"/>
    </row>
    <row r="47" ht="12">
      <c r="K47" s="19"/>
    </row>
    <row r="48" ht="12">
      <c r="K48" s="19"/>
    </row>
    <row r="49" ht="12">
      <c r="K49" s="19"/>
    </row>
    <row r="50" ht="12">
      <c r="K50" s="19"/>
    </row>
    <row r="51" ht="12">
      <c r="K51" s="19"/>
    </row>
    <row r="52" ht="12">
      <c r="K52" s="19"/>
    </row>
    <row r="53" ht="12">
      <c r="K53" s="19"/>
    </row>
    <row r="54" ht="12">
      <c r="K54" s="19"/>
    </row>
    <row r="55" ht="12">
      <c r="K55" s="19"/>
    </row>
    <row r="56" ht="12">
      <c r="K56" s="19"/>
    </row>
    <row r="57" ht="12">
      <c r="K57" s="19"/>
    </row>
    <row r="58" ht="12">
      <c r="K58" s="19"/>
    </row>
    <row r="59" ht="12">
      <c r="K59" s="19"/>
    </row>
    <row r="60" ht="12">
      <c r="K60" s="19"/>
    </row>
    <row r="61" ht="12">
      <c r="K61" s="19"/>
    </row>
    <row r="62" ht="12">
      <c r="K62" s="19"/>
    </row>
    <row r="63" ht="12">
      <c r="K63" s="19"/>
    </row>
    <row r="64" ht="12">
      <c r="K64" s="19"/>
    </row>
    <row r="65" ht="12">
      <c r="K65" s="19"/>
    </row>
    <row r="66" ht="12">
      <c r="K66" s="19"/>
    </row>
    <row r="67" ht="12">
      <c r="K67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2002-06-17T22:07:24Z</cp:lastPrinted>
  <dcterms:created xsi:type="dcterms:W3CDTF">2002-06-01T14:59:44Z</dcterms:created>
  <cp:category/>
  <cp:version/>
  <cp:contentType/>
  <cp:contentStatus/>
</cp:coreProperties>
</file>