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80" yWindow="65516" windowWidth="6460" windowHeight="6700" tabRatio="19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<sst xmlns="http://schemas.openxmlformats.org/spreadsheetml/2006/main" count="855" uniqueCount="664">
  <si>
    <t xml:space="preserve">           The Prisoner's Dilemma</t>
  </si>
  <si>
    <t>© 1999</t>
  </si>
  <si>
    <t>will charge a correspondingly higher market price for its output than would a perfectly competitive firm or industry.  The resulting</t>
  </si>
  <si>
    <t>positive economic profit of the monopolist constitutes a misallocation of resources because the monopoly firm is able to enjoy</t>
  </si>
  <si>
    <t>a rate of return on capital above its opportunity cost.  Society experiences a reduction in social welfare because the output price</t>
  </si>
  <si>
    <t>exceeds its marginal cost, or what is equivalent, society is obtaining a smaller aggregate quantity of goods and services than would</t>
  </si>
  <si>
    <t>result under a competitive market structure.</t>
  </si>
  <si>
    <t>Simulation Tableau</t>
  </si>
  <si>
    <t>Simulation</t>
  </si>
  <si>
    <t>Base Values</t>
  </si>
  <si>
    <t>Functional Demand Constant</t>
  </si>
  <si>
    <t>Functional Demand Coefficient</t>
  </si>
  <si>
    <t xml:space="preserve">  </t>
  </si>
  <si>
    <t>Total Cost Coefficient</t>
  </si>
  <si>
    <t>Number of Firms</t>
  </si>
  <si>
    <t xml:space="preserve">          Let us illustrate the comparative equilibrium conditions for a monopoly and a for a perfectly competitive firm.  </t>
  </si>
  <si>
    <t>We first define a functional market demand equation as:</t>
  </si>
  <si>
    <t>Q =</t>
  </si>
  <si>
    <t>P</t>
  </si>
  <si>
    <t>, which yields the following inverse demand function:</t>
  </si>
  <si>
    <t>P =</t>
  </si>
  <si>
    <t>Q         =</t>
  </si>
  <si>
    <t>AR</t>
  </si>
  <si>
    <t>TR = (P)x(Q) =</t>
  </si>
  <si>
    <t>Q</t>
  </si>
  <si>
    <t>Q^2</t>
  </si>
  <si>
    <t>MR = dTR/dQ =</t>
  </si>
  <si>
    <t>TC =</t>
  </si>
  <si>
    <t>AC = TC/Q =</t>
  </si>
  <si>
    <t>Q/Q          =</t>
  </si>
  <si>
    <t>MC = dTC/dQ =</t>
  </si>
  <si>
    <t>Table 1</t>
  </si>
  <si>
    <t>Total Revenue and Total Cost</t>
  </si>
  <si>
    <t>TR</t>
  </si>
  <si>
    <t>TC</t>
  </si>
  <si>
    <t>Profit = (TR-TC)</t>
  </si>
  <si>
    <t>TR`</t>
  </si>
  <si>
    <t>TC`</t>
  </si>
  <si>
    <t>Table 2</t>
  </si>
  <si>
    <t>Average and Marginal Variables</t>
  </si>
  <si>
    <t>Monopoly Graphing Data</t>
  </si>
  <si>
    <t>MR</t>
  </si>
  <si>
    <t>AC</t>
  </si>
  <si>
    <t>MC</t>
  </si>
  <si>
    <t>AC = MC</t>
  </si>
  <si>
    <t>AR`</t>
  </si>
  <si>
    <t>MR`</t>
  </si>
  <si>
    <t>AC` = MC`</t>
  </si>
  <si>
    <t xml:space="preserve">         Figures 1 and 2 illustrate the comparative equilibrium conditions for the monopoly firm and for the competitive firm as two extremes.</t>
  </si>
  <si>
    <t xml:space="preserve">To facilitate our comparision, we have adopted two simplifying assumptions, namely, that the monopoly firm produces only with </t>
  </si>
  <si>
    <t>variable cost inputs in the short run (i.e., there are no fixed costs), and that the firm has a constant marginal cost. This means</t>
  </si>
  <si>
    <t>that the monopolist's total cost function goes through the origin and that it is linear.  It also means that the monopolist's marginal</t>
  </si>
  <si>
    <t>cost will be equal to its average cost, as is shown in the top part of Figure 2.</t>
  </si>
  <si>
    <t xml:space="preserve">          Unlike the perfectly competitive firm, because the monopoly firm is the sole producer, its output can affect the market </t>
  </si>
  <si>
    <t>equilibrium price.  The monopolist thus faces a downward-sloping demand curve.  Because the market demand curve is downward</t>
  </si>
  <si>
    <t>sloping, the marginal revenue curve will lie everywhere below average revenue (the demand curve) and will decline at a faster rate.</t>
  </si>
  <si>
    <t>From Cournot to Game Theory:  Models of Oligopoly Behavior</t>
  </si>
  <si>
    <t xml:space="preserve">Figure 1             </t>
  </si>
  <si>
    <t xml:space="preserve">Figure 2                        </t>
  </si>
  <si>
    <t>..</t>
  </si>
  <si>
    <t>Figure 3</t>
  </si>
  <si>
    <t>Figure 4</t>
  </si>
  <si>
    <t>Figure 5</t>
  </si>
  <si>
    <r>
      <t xml:space="preserve">Stackelberg (1909-1946), in his 1934 publication </t>
    </r>
    <r>
      <rPr>
        <b/>
        <i/>
        <sz val="10"/>
        <rFont val="Helv"/>
        <family val="0"/>
      </rPr>
      <t>Marketform und Gleichgewicht</t>
    </r>
    <r>
      <rPr>
        <sz val="12"/>
        <rFont val="Helv"/>
        <family val="0"/>
      </rPr>
      <t>, which was translated into English</t>
    </r>
  </si>
  <si>
    <r>
      <t xml:space="preserve">in 1952 under the title </t>
    </r>
    <r>
      <rPr>
        <b/>
        <i/>
        <sz val="10"/>
        <rFont val="Helv"/>
        <family val="0"/>
      </rPr>
      <t>The Theory of the Market Economy</t>
    </r>
    <r>
      <rPr>
        <sz val="12"/>
        <rFont val="Helv"/>
        <family val="0"/>
      </rPr>
      <t>.  Stackelberg's model was similar to Cournot's duopoly</t>
    </r>
  </si>
  <si>
    <r>
      <t xml:space="preserve">article, "Demand under Conditions of Oligopoly" in the </t>
    </r>
    <r>
      <rPr>
        <b/>
        <sz val="10"/>
        <rFont val="Helv"/>
        <family val="0"/>
      </rPr>
      <t>Journal of Political Economy</t>
    </r>
    <r>
      <rPr>
        <sz val="12"/>
        <rFont val="Helv"/>
        <family val="0"/>
      </rPr>
      <t>.</t>
    </r>
  </si>
  <si>
    <r>
      <t xml:space="preserve">of the Great Depression during the 1930's, a view which was echoed in </t>
    </r>
    <r>
      <rPr>
        <b/>
        <i/>
        <sz val="10"/>
        <rFont val="Helv"/>
        <family val="0"/>
      </rPr>
      <t>The</t>
    </r>
    <r>
      <rPr>
        <i/>
        <sz val="10"/>
        <rFont val="Helv"/>
        <family val="0"/>
      </rPr>
      <t xml:space="preserve"> </t>
    </r>
    <r>
      <rPr>
        <b/>
        <i/>
        <sz val="10"/>
        <rFont val="Helv"/>
        <family val="0"/>
      </rPr>
      <t>General Theory of Employment, Interest</t>
    </r>
    <r>
      <rPr>
        <b/>
        <sz val="12"/>
        <rFont val="Helv"/>
        <family val="0"/>
      </rPr>
      <t xml:space="preserve"> </t>
    </r>
  </si>
  <si>
    <r>
      <t xml:space="preserve">     As with the other models we have discussed, the kinked demand curve has a few weaknesses.  In his 1947 </t>
    </r>
    <r>
      <rPr>
        <b/>
        <i/>
        <sz val="10"/>
        <rFont val="Helv"/>
        <family val="0"/>
      </rPr>
      <t>Journal of Political</t>
    </r>
  </si>
  <si>
    <r>
      <t xml:space="preserve">Simon in "A Further Test of the Kinky Oligopoly Demand Curve", </t>
    </r>
    <r>
      <rPr>
        <b/>
        <i/>
        <sz val="10"/>
        <rFont val="Helv"/>
        <family val="0"/>
      </rPr>
      <t>American Economic Review</t>
    </r>
    <r>
      <rPr>
        <sz val="12"/>
        <rFont val="Helv"/>
        <family val="0"/>
      </rPr>
      <t xml:space="preserve"> (December 1969), and by Walter</t>
    </r>
  </si>
  <si>
    <r>
      <t xml:space="preserve">Primeaux, Jr. and W. Smith, "Pricing Patterns and the Kinky Demand Curve", </t>
    </r>
    <r>
      <rPr>
        <b/>
        <i/>
        <sz val="10"/>
        <rFont val="Helv"/>
        <family val="0"/>
      </rPr>
      <t>Journal of Law and Economics</t>
    </r>
    <r>
      <rPr>
        <sz val="12"/>
        <rFont val="Helv"/>
        <family val="0"/>
      </rPr>
      <t xml:space="preserve"> (April 1976).  Apart</t>
    </r>
  </si>
  <si>
    <r>
      <t xml:space="preserve">properties in his 1950 </t>
    </r>
    <r>
      <rPr>
        <b/>
        <i/>
        <sz val="10"/>
        <rFont val="Helv"/>
        <family val="0"/>
      </rPr>
      <t>Econometrica</t>
    </r>
    <r>
      <rPr>
        <sz val="12"/>
        <rFont val="Helv"/>
        <family val="0"/>
      </rPr>
      <t xml:space="preserve"> article, "The Bargaining Problem", and in his 1951 article, "Noncooperative Games", in</t>
    </r>
  </si>
  <si>
    <r>
      <t>Annals of Mathematics</t>
    </r>
    <r>
      <rPr>
        <b/>
        <sz val="12"/>
        <rFont val="Helv"/>
        <family val="0"/>
      </rPr>
      <t>.</t>
    </r>
  </si>
  <si>
    <t>Profit(pc)=(TR-TC) =</t>
  </si>
  <si>
    <t>and in which total revenue and total cost would be equal to 12.  The bottom half of Figure 2 shows that the competitive</t>
  </si>
  <si>
    <t>equilibrium would no longer correspond to the monopolist's equality of marginal revenue and marginal cost.</t>
  </si>
  <si>
    <t>It should be kept in mind that the demand curve for each individual firm in a competitive industry is horizontal.  The question</t>
  </si>
  <si>
    <t>we want to keep in mind is how many firms must there be in order to arrive at this competitive industry allocation of resources.</t>
  </si>
  <si>
    <t xml:space="preserve">         One way of comparing the efficiency of competitive markets to monopoly is in terms of relative welfare losses.  In</t>
  </si>
  <si>
    <t xml:space="preserve">Figure 2, if the competitive allocation of resources is defined at 6 units, while the pure monopoly allocation is at 3, the </t>
  </si>
  <si>
    <t>deadweight welfare loss can be defined as a triangle, ABC.  In terms of our numerical example, the deadweight welfare</t>
  </si>
  <si>
    <t>loss from monopolization of the industry would thus be:</t>
  </si>
  <si>
    <t>DWL(mon) =</t>
  </si>
  <si>
    <t>Let us also compare this welfare loss as a percentage of total social welfare under a competitive market structure.  Since</t>
  </si>
  <si>
    <t>competitive welfare would be defined as the sum of producer and consumer surplus (i.e., the sum of areas above the</t>
  </si>
  <si>
    <t xml:space="preserve">industry supply curve and below the market demand curve, competitive social welfare would be equal to the triangle </t>
  </si>
  <si>
    <t>EDC in Figure 2, which is equal to:</t>
  </si>
  <si>
    <t>TSW(comp) =</t>
  </si>
  <si>
    <t>We can thus generalize by saying that monopolization results in a one-quarter loss of competitive total social welfare,</t>
  </si>
  <si>
    <t>or equivalently, that the economic efficiency of monopoly is 75 percent of the level under perfect competition.</t>
  </si>
  <si>
    <t>We make this statement by recalling that if competitive total social welfare is at</t>
  </si>
  <si>
    <t>as in equation 17,</t>
  </si>
  <si>
    <t>by subtracting the monopoly deadweight social welfare loss of:</t>
  </si>
  <si>
    <t>from this level, total social welfare</t>
  </si>
  <si>
    <t>under monopoly would be:</t>
  </si>
  <si>
    <t>This would thus represent about</t>
  </si>
  <si>
    <t>of competitive</t>
  </si>
  <si>
    <t xml:space="preserve">total social welfare.  Any policies designed to correct for the imperfections created by classical monopoly should be </t>
  </si>
  <si>
    <t>evaluated against this benchmark standard.  Only as long as the transactions costs of such correction were less than</t>
  </si>
  <si>
    <t>the deadweight social welfare loss measured here could one claim that a corrective policy would result in an increase</t>
  </si>
  <si>
    <t>in the level of net total social welfare.    In turn, such a policy would also have to take into account the basis of the</t>
  </si>
  <si>
    <t>Dr. P. LeBel</t>
  </si>
  <si>
    <t>Overview</t>
  </si>
  <si>
    <t xml:space="preserve">          Economists have long contended that imperfect competition can produce a misallocation of resources, thereby leading to</t>
  </si>
  <si>
    <t>losses in social welfare.  While there is some debate among economists as to whether allocative inefficiency under imperfectly</t>
  </si>
  <si>
    <t>competitive market conditions is significant (cf. Arnold Harberger, 1954; Harvey Leibenstein, 1966; Abram Bergson, 1973), or</t>
  </si>
  <si>
    <t>whether it is as important as technical, or x-inefficiency (cf. Leibenstein, 1966), we can understand the consequences of imperfect</t>
  </si>
  <si>
    <t>competition through a comparison of several well-known models of industry structure and behavior.</t>
  </si>
  <si>
    <t>I.</t>
  </si>
  <si>
    <t>Classical Monopoly versus Classical Competition</t>
  </si>
  <si>
    <t xml:space="preserve">          The standard case against classical (as opposed to natural) monopoly is based on the consequences of profit-maximizing</t>
  </si>
  <si>
    <t>behavior of the monopolist in comparison to the allocation of a competitive industry.  The profit-maximizing monopolist will choose</t>
  </si>
  <si>
    <t>an output level that is less than what would be generated by a competitive market industry.  At the same time, the monopolist</t>
  </si>
  <si>
    <t xml:space="preserve">          To illustrate Cournot's model, we will utilize the elementary quantitative model spelled out in section 1.  if we modify</t>
  </si>
  <si>
    <t>Cournot's assumption of zero average costs to allow for positive average and marginal costs, our basic equations are:</t>
  </si>
  <si>
    <t xml:space="preserve">Q = Q1 + Q2 = </t>
  </si>
  <si>
    <t>(from equation 1).</t>
  </si>
  <si>
    <t>If Q2 is fixed, firm one now has a demand curve defined as:</t>
  </si>
  <si>
    <t>Q1 = (</t>
  </si>
  <si>
    <t>Q2</t>
  </si>
  <si>
    <t>We can now redefine equation 18 as an inverse demand function:</t>
  </si>
  <si>
    <r>
      <t>Q1</t>
    </r>
    <r>
      <rPr>
        <sz val="12"/>
        <rFont val="Helv"/>
        <family val="0"/>
      </rPr>
      <t>, which simplifies to:</t>
    </r>
  </si>
  <si>
    <t>Q1</t>
  </si>
  <si>
    <t>From this inverse demand function, we can also derive the first duopolist's total revenue function as:</t>
  </si>
  <si>
    <t>TR(1) = (P)(Q1)=</t>
  </si>
  <si>
    <t>Q2Q1</t>
  </si>
  <si>
    <t>Q1^2</t>
  </si>
  <si>
    <t xml:space="preserve">          Our first duopolist maximizes profits by setting output at the point where marginal cost equals marginal revenue.  Marginal</t>
  </si>
  <si>
    <t>revenue is derived from the preceding total revenue function as:</t>
  </si>
  <si>
    <r>
      <t xml:space="preserve">MR(1) = </t>
    </r>
    <r>
      <rPr>
        <b/>
        <sz val="10"/>
        <rFont val="Symbol"/>
        <family val="0"/>
      </rPr>
      <t>d</t>
    </r>
    <r>
      <rPr>
        <b/>
        <sz val="9"/>
        <rFont val="Helv"/>
        <family val="0"/>
      </rPr>
      <t>TR/</t>
    </r>
    <r>
      <rPr>
        <b/>
        <sz val="10"/>
        <rFont val="Symbol"/>
        <family val="0"/>
      </rPr>
      <t>d</t>
    </r>
    <r>
      <rPr>
        <b/>
        <sz val="9"/>
        <rFont val="Helv"/>
        <family val="0"/>
      </rPr>
      <t>Q1 =</t>
    </r>
  </si>
  <si>
    <t xml:space="preserve">          By setting marginal revenue equal to marginal cost, or: </t>
  </si>
  <si>
    <t>we obtain a</t>
  </si>
  <si>
    <t>reduced form duopolist equilibrium equation, which Cournot termed as a reaction function.  The reaction</t>
  </si>
  <si>
    <t>function of the first duopolist is thus defined as:</t>
  </si>
  <si>
    <t>Q1 opt = (MR=MC)=</t>
  </si>
  <si>
    <t>Q1         =</t>
  </si>
  <si>
    <t>which reduces to :</t>
  </si>
  <si>
    <t>Q1        =</t>
  </si>
  <si>
    <t>so that:</t>
  </si>
  <si>
    <t>Q1opt =</t>
  </si>
  <si>
    <t xml:space="preserve">          Similarly, we can derive the second duopolist's equilibrium equation, or reaction function, from its corresponding total</t>
  </si>
  <si>
    <t>and marginal revenue functions as:</t>
  </si>
  <si>
    <t>TR(2) = (P)(Q2) =</t>
  </si>
  <si>
    <t>Q2^2</t>
  </si>
  <si>
    <t>Q1Q2</t>
  </si>
  <si>
    <t>MR(2) =dTR/dQ2 =</t>
  </si>
  <si>
    <t xml:space="preserve">Q2       </t>
  </si>
  <si>
    <t>Q2opt = (MR=MC) =</t>
  </si>
  <si>
    <t>Q1 =</t>
  </si>
  <si>
    <t>Q1                  +</t>
  </si>
  <si>
    <t>Q2        =</t>
  </si>
  <si>
    <t>Q2opt =</t>
  </si>
  <si>
    <t xml:space="preserve">         We now have two linear equations and two unknowns, which means that we have a unique level of output for each duopolist. </t>
  </si>
  <si>
    <t>Re-arranging equation 28 in terms of Q1, we have:</t>
  </si>
  <si>
    <t>, which reduces to:</t>
  </si>
  <si>
    <t>Setting equation 29 equal to equation 24 solves for Q2 as:</t>
  </si>
  <si>
    <t>, which when set back into either reaction function, yields Q1 opt as:</t>
  </si>
  <si>
    <t>,for a total market output level of:</t>
  </si>
  <si>
    <t xml:space="preserve">          In turn, we can now derive the market price for the two duopolists by inserting total output of the two producers into the </t>
  </si>
  <si>
    <t>original inverse demand function, to yield:</t>
  </si>
  <si>
    <t xml:space="preserve">          To see how this solution was obtained, let us now plot the corresponding reaction  functions of the two duopolists.  </t>
  </si>
  <si>
    <t xml:space="preserve">As can be seen in the figure below, the equilibrium of the two firms is where the reaction functions intersect.  </t>
  </si>
  <si>
    <t>Moreover, if the market demand curve is linear, as is shown in Figure 1, the marginal revenue curve will also be linear, and will have</t>
  </si>
  <si>
    <t>twice the slope of the market demand curve.</t>
  </si>
  <si>
    <t>II.</t>
  </si>
  <si>
    <t>Profit Maximizing Conditions under Monopoly and Perfect Competition</t>
  </si>
  <si>
    <t xml:space="preserve">          The monopoly firm maximizes profit by setting output at the point where marginal cost equals marginal revenue, or:</t>
  </si>
  <si>
    <t>(MR = MC) =</t>
  </si>
  <si>
    <t>Q           =</t>
  </si>
  <si>
    <t>Qem =</t>
  </si>
  <si>
    <t>The monopolist's equilibrium price is derived by inserting its equilibrium quantity into the market demand function to yield:</t>
  </si>
  <si>
    <t>Pem =</t>
  </si>
  <si>
    <t xml:space="preserve">Q </t>
  </si>
  <si>
    <t xml:space="preserve"> =</t>
  </si>
  <si>
    <t>Total revenue is thus:</t>
  </si>
  <si>
    <t>PmxQm =</t>
  </si>
  <si>
    <t>TRm =</t>
  </si>
  <si>
    <t>while total costs are derived as:</t>
  </si>
  <si>
    <t>TCm =</t>
  </si>
  <si>
    <t>Profit = TR-TC) =</t>
  </si>
  <si>
    <t xml:space="preserve">   -</t>
  </si>
  <si>
    <t>Profit(m) =</t>
  </si>
  <si>
    <r>
      <t xml:space="preserve">          </t>
    </r>
    <r>
      <rPr>
        <sz val="12"/>
        <rFont val="Helv"/>
        <family val="0"/>
      </rPr>
      <t>In a competitive industry, there is no pure economic profit, only normal profit.  This would be equivalent to</t>
    </r>
  </si>
  <si>
    <t xml:space="preserve">an output level where each firm would be producing at a point where its marginal cost equaled its marginal revenue, </t>
  </si>
  <si>
    <t>but that for the industry as a whole there would be no pure economic profit.  In terms of Figure 2, zero economic profit</t>
  </si>
  <si>
    <t>would exist at an output level of 6 units, with the market demand price now equal to the average and marginal cost of 2,</t>
  </si>
  <si>
    <t>Qpc =</t>
  </si>
  <si>
    <t>Q          =</t>
  </si>
  <si>
    <t>Ppc = MC =</t>
  </si>
  <si>
    <t>TRpc =</t>
  </si>
  <si>
    <t>TCpc =</t>
  </si>
  <si>
    <t>Within a Cournot Market Framework</t>
  </si>
  <si>
    <t>Number of</t>
  </si>
  <si>
    <t>Relative DSW</t>
  </si>
  <si>
    <t>Relative Economic</t>
  </si>
  <si>
    <t>Price and Profits as a Function of Producer Density</t>
  </si>
  <si>
    <t>Firms:</t>
  </si>
  <si>
    <t>Output Quantity</t>
  </si>
  <si>
    <t>Price</t>
  </si>
  <si>
    <t>Economic Profit</t>
  </si>
  <si>
    <t>Losses</t>
  </si>
  <si>
    <t>Efficiency</t>
  </si>
  <si>
    <t>Firms</t>
  </si>
  <si>
    <t>Profit</t>
  </si>
  <si>
    <t>%DSWL</t>
  </si>
  <si>
    <t>Relative Efficiency</t>
  </si>
  <si>
    <t xml:space="preserve">         As the above figures serve to show, as long as firms do not collude, even a relatively small number of firms can generate </t>
  </si>
  <si>
    <t>a relatively efficient allocation of resources. This finding, which must be tested against actual firm behavior, suggests that</t>
  </si>
  <si>
    <t xml:space="preserve">standard measures such as industry concentration ratios, may not reveal significant policy-based information.  </t>
  </si>
  <si>
    <t xml:space="preserve">It should also be noted that for a given average and marginal cost structure, relative welfare losses are independent of the </t>
  </si>
  <si>
    <t xml:space="preserve">shape and position of the underlying demand curve. As the demand curve becomes relatively flat, or elastic, relative welfare </t>
  </si>
  <si>
    <t>losses will still be the same as portrayed by the shape of the efficiency curve in the figure at right.</t>
  </si>
  <si>
    <t>Table 5</t>
  </si>
  <si>
    <t xml:space="preserve">                Cournot Duopoly with Heterogeneous Marginal Costs</t>
  </si>
  <si>
    <t>Ratio of Price</t>
  </si>
  <si>
    <t>Quantity</t>
  </si>
  <si>
    <t>Mean MC</t>
  </si>
  <si>
    <t>to MC</t>
  </si>
  <si>
    <t>Profits</t>
  </si>
  <si>
    <t>Profitability</t>
  </si>
  <si>
    <t>Std.Dev.MC</t>
  </si>
  <si>
    <t>MC1 =</t>
  </si>
  <si>
    <t>MC2 =</t>
  </si>
  <si>
    <t>Market</t>
  </si>
  <si>
    <t xml:space="preserve">         Let us now turn to some more interesting variations.  What happens when firms in an industry have heterogeneous costs?  </t>
  </si>
  <si>
    <t xml:space="preserve">If we still use our Cournot assumptions, total market output and market price will depend on the profit maximizing levels of output </t>
  </si>
  <si>
    <t xml:space="preserve">of the two firms.  However, the market share of output for each producer will depend on the marginal costs for each producer </t>
  </si>
  <si>
    <t>as well as on the divergence in marginal costs between the two producers.  As can be seen in a few illustrative cases below,</t>
  </si>
  <si>
    <t xml:space="preserve">given market demand, if the divergence in marginal costs is significant enough,  it is possible that only one producer will be able </t>
  </si>
  <si>
    <t xml:space="preserve">to operate profitably, even though that profit-maximizing level may not correspond to the competitive allocation of output. </t>
  </si>
  <si>
    <t>The reason for this is that the market price may still exceed the marginal cost of production. In effect, whether a market</t>
  </si>
  <si>
    <t>can be contested by two or more producers depends on the level of market demand and on the extent  to which marginal</t>
  </si>
  <si>
    <t>costs are similar for comparable levels of output, even if there are no barriers to entry.</t>
  </si>
  <si>
    <t>IV.</t>
  </si>
  <si>
    <t>existence of a monopoly industry, i.e., whether its profitability were temporary or permanently above the opportunity</t>
  </si>
  <si>
    <t>cost of capital, and whether the economic profitability were due to factors other than innovation, for example.</t>
  </si>
  <si>
    <t>III.</t>
  </si>
  <si>
    <t>Classical Monopoly versus Cournot Duopoly</t>
  </si>
  <si>
    <t xml:space="preserve">          Let us now depart from the classical monopoly model to see what happens to an industry characterized by only</t>
  </si>
  <si>
    <t>two producers, a duopoly.  A classic formulation of duopoly behavior was first made by the French economist Antoine</t>
  </si>
  <si>
    <r>
      <t>Augustin Cournot (1801-1877), in his 1838 treatise,</t>
    </r>
    <r>
      <rPr>
        <b/>
        <sz val="12"/>
        <rFont val="Helv"/>
        <family val="0"/>
      </rPr>
      <t xml:space="preserve"> </t>
    </r>
    <r>
      <rPr>
        <b/>
        <i/>
        <sz val="12"/>
        <rFont val="Helv"/>
        <family val="0"/>
      </rPr>
      <t xml:space="preserve">Recherches sur les Principes Mathématiques de la Théorie </t>
    </r>
  </si>
  <si>
    <r>
      <t>des Richesses</t>
    </r>
    <r>
      <rPr>
        <sz val="12"/>
        <rFont val="Helv"/>
        <family val="0"/>
      </rPr>
      <t xml:space="preserve">, which was translated into English in 1897 as </t>
    </r>
    <r>
      <rPr>
        <b/>
        <sz val="12"/>
        <rFont val="Helv"/>
        <family val="0"/>
      </rPr>
      <t>Researches into the Mathematical Principles of Wealth</t>
    </r>
    <r>
      <rPr>
        <sz val="12"/>
        <rFont val="Helv"/>
        <family val="0"/>
      </rPr>
      <t>.</t>
    </r>
  </si>
  <si>
    <t>Cournot's model was based on two duopolists involved in the production of mineral water.  In his model, each producer</t>
  </si>
  <si>
    <t xml:space="preserve">would choose a profit-maximizing level of output on the assumption that the other producer would not adjust output in </t>
  </si>
  <si>
    <t>response to the initial firm's output decision.  As we will see, as long as our dupolists do not collude or respond to each</t>
  </si>
  <si>
    <t>other, the resulting market equilibrium output will be greater than under classical monopoly, and the corresponding</t>
  </si>
  <si>
    <t>price will be lower.</t>
  </si>
  <si>
    <t>The figure above illustrates the Edgeworth-Bertrand characterization of the duopoly problem.  To simplify the model, we</t>
  </si>
  <si>
    <t>will assume that the original demand specified can be partitioned into two discrete  and equal market segments, i.e.:</t>
  </si>
  <si>
    <t xml:space="preserve"> for market one, and:</t>
  </si>
  <si>
    <t>Q2 =</t>
  </si>
  <si>
    <t>Next, we derive the inverse demand equations as:</t>
  </si>
  <si>
    <t xml:space="preserve"> each of which is plotted as the outer functions</t>
  </si>
  <si>
    <t>on the corresponding axes.  To derive the correspondingmarginal revenue functions, we then calculate from</t>
  </si>
  <si>
    <t>equations 35 and 36 the corresponding total revenue functions as:</t>
  </si>
  <si>
    <t>TR1 =</t>
  </si>
  <si>
    <t xml:space="preserve"> and</t>
  </si>
  <si>
    <t>TR2 =</t>
  </si>
  <si>
    <t xml:space="preserve"> which yield the corrresponding</t>
  </si>
  <si>
    <t>marginal revenue functions as:</t>
  </si>
  <si>
    <t>MR1 =</t>
  </si>
  <si>
    <t>MR2 =</t>
  </si>
  <si>
    <t>Now if we utilize the basic Cournot model's assumption that each producer's marginal cost is:</t>
  </si>
  <si>
    <t>we can derive the respective competitive and monopoly allocations for each producer.  Thus, each producer's</t>
  </si>
  <si>
    <t>monopoly allocation is calculated as at the point where MR equals MC, or:</t>
  </si>
  <si>
    <t>(MR1 = MC) =</t>
  </si>
  <si>
    <t>Q1            =</t>
  </si>
  <si>
    <t>, and which has a corresponding price of:</t>
  </si>
  <si>
    <t>Pm =</t>
  </si>
  <si>
    <t>(MR2 = MC) =</t>
  </si>
  <si>
    <t>Q2            =</t>
  </si>
  <si>
    <t>, which in turn results in:</t>
  </si>
  <si>
    <t>and a corresponding price of:</t>
  </si>
  <si>
    <t>Thus, for the market as a whole, total market output is the sum of each producer's monopoly allocation, or:</t>
  </si>
  <si>
    <t>Q1 + Q2 =</t>
  </si>
  <si>
    <t>, with a corresponding monopoly price of:</t>
  </si>
  <si>
    <t>Pm(1+2)=</t>
  </si>
  <si>
    <t>.  Under this configuration, economic profits to be shared between the two firms</t>
  </si>
  <si>
    <t>are:</t>
  </si>
  <si>
    <t>which is the same as for a single monopoly firm.</t>
  </si>
  <si>
    <t xml:space="preserve">     Now from this initial configuration, Bertrand and Edgeworth suggested that one producer would be tempted to increase</t>
  </si>
  <si>
    <t>market share by lowering his/her price while assuming that the other producer would not respond in kind.  In so doing,</t>
  </si>
  <si>
    <t xml:space="preserve">the original duopolist could expand total revenue from </t>
  </si>
  <si>
    <t>to</t>
  </si>
  <si>
    <t>while</t>
  </si>
  <si>
    <t>total costs  increase from</t>
  </si>
  <si>
    <t>thereby reducing economic profits</t>
  </si>
  <si>
    <t>from the original of</t>
  </si>
  <si>
    <t>to zero.  However, at some point, the second duopolist seeks to regain market share</t>
  </si>
  <si>
    <t>and lowers his/her price, thereby bringing his/her output to the corresponding competitive market allocation.  Total</t>
  </si>
  <si>
    <t>market output would thus increase from</t>
  </si>
  <si>
    <t>, while total</t>
  </si>
  <si>
    <t>economic profits fall from</t>
  </si>
  <si>
    <t>to zero.</t>
  </si>
  <si>
    <t>Edgeworth then suggested that the initial</t>
  </si>
  <si>
    <t>duopolist would soon realize that profits could be increased by returning to the original monopoly price of</t>
  </si>
  <si>
    <t xml:space="preserve">Since both firms have identical average and marginal cost functions, they share equally in producing the total market output. </t>
  </si>
  <si>
    <t xml:space="preserve">                           Table 3</t>
  </si>
  <si>
    <t>Reaction 2</t>
  </si>
  <si>
    <t>Reaction 1</t>
  </si>
  <si>
    <r>
      <t xml:space="preserve">       </t>
    </r>
    <r>
      <rPr>
        <sz val="12"/>
        <rFont val="Helv"/>
        <family val="0"/>
      </rPr>
      <t xml:space="preserve">What does our Cournot duopoly model show?  First, output is four-thirds of the classical monopoly level, while price </t>
    </r>
  </si>
  <si>
    <t>is now lower by 14.29 percent in comparison to the classical monopoly output.  Given our marginal and average cost of:</t>
  </si>
  <si>
    <t>we now recompute total revenue and total cost to derive the joint profit  as:</t>
  </si>
  <si>
    <t>a</t>
  </si>
  <si>
    <t xml:space="preserve">   -b</t>
  </si>
  <si>
    <t>Q^2           =</t>
  </si>
  <si>
    <t>TRduopoly =</t>
  </si>
  <si>
    <t>TCduopoly=</t>
  </si>
  <si>
    <t xml:space="preserve">Profits = (TR-TC) = </t>
  </si>
  <si>
    <t>Since each firm has an equal share of output with an identical cost function, profits for each firm will be:</t>
  </si>
  <si>
    <t xml:space="preserve">We also note the change in economic efficiency, as measured by the deadweight social welfare loss,  </t>
  </si>
  <si>
    <t xml:space="preserve">and in terms of the relative efficiency of resource allocation. </t>
  </si>
  <si>
    <t xml:space="preserve">          What happens to economic profits as the number of firms increases?  As our comparisons have suggested, </t>
  </si>
  <si>
    <t>they disappear to zero as the number of firms tends toward infinity. We see that the market equilibrium price approaches</t>
  </si>
  <si>
    <t>which is the marginal cost price, and therefore the one that is the economically most efficient allocation.</t>
  </si>
  <si>
    <t>Table 4</t>
  </si>
  <si>
    <t>Producer Density and Allocative Efficiency</t>
  </si>
  <si>
    <r>
      <t>Der Isolierte Staat</t>
    </r>
    <r>
      <rPr>
        <sz val="12"/>
        <rFont val="Helv"/>
        <family val="0"/>
      </rPr>
      <t xml:space="preserve"> (1826); </t>
    </r>
    <r>
      <rPr>
        <b/>
        <sz val="12"/>
        <rFont val="Helv"/>
        <family val="0"/>
      </rPr>
      <t>et.al</t>
    </r>
    <r>
      <rPr>
        <sz val="12"/>
        <rFont val="Helv"/>
        <family val="0"/>
      </rPr>
      <t>.).  As we will see, it is from this article that we have the "Hotelling Paradox", which is that</t>
    </r>
  </si>
  <si>
    <t>competition by means of product differentiation may lead to products that are hardly differentiated at all.  In other words,</t>
  </si>
  <si>
    <t>oligopoly industries may be characterized by excessive and wasteful advertising.</t>
  </si>
  <si>
    <t xml:space="preserve">          Figure 7 illustrates the nature of nonprice competition based on Hotelling's original location model.  Hotelling</t>
  </si>
  <si>
    <t>characterized a model consisting of many buyers, denoted here as 15 consumers, each located equidistant from the</t>
  </si>
  <si>
    <t>next customer along a straight line whose endpoints are denoted here as "S" and "N", respectively.  For this market of</t>
  </si>
  <si>
    <t>15 consumers, let us assume that there are only two producers, A and B.  If the transport cost from one consumer's</t>
  </si>
  <si>
    <t>location to the next adjacent location is $1.00, the least costly distribution of the two producers would be at consumer 4</t>
  </si>
  <si>
    <t xml:space="preserve">for producer A and at consumer 12 for producer B.  The transport costs for consumers 3,5, 11, and 13 would be $1.00, </t>
  </si>
  <si>
    <t>for consumers 2,6, 10, and 14, it would be $2.00, for consumers 1, 7, 9, and 15 it would be $3.00, with a $4.00 cost</t>
  </si>
  <si>
    <t xml:space="preserve">for consumer number 8 who would be indifferent between seller A or B, and with zero transport costs for consumers </t>
  </si>
  <si>
    <t xml:space="preserve">4 and 12.  This would give a total transport cost of $28.00, with consumers paying different amounts for the final products </t>
  </si>
  <si>
    <t>of the two sellers A and B, even though production costs would be identical for the 15 consumers.</t>
  </si>
  <si>
    <t xml:space="preserve">          As Hotelling pointed out, despite the least costly spatial distribution of the two sellers, each seller will seek to</t>
  </si>
  <si>
    <t>maximize profits by shifting his or her location.  For example, if producer B now shifts to location B' at consumer 5,</t>
  </si>
  <si>
    <t>all consumers to the right will find it cheaper to buy only from producer B, thereby reducing producer A's share.</t>
  </si>
  <si>
    <t>In turn, total transport costs now increase from $28.00 to $61.00.  Yet the juxtaposition of producers A and B is an</t>
  </si>
  <si>
    <t>unstable equilibrium, for as soon as producer A realizes the loss of market from producer B's relocation, producer A</t>
  </si>
  <si>
    <t>would most likely relocate just to the right of B's location, i.e. at consumer 6, thereby taking away B's expanded market.</t>
  </si>
  <si>
    <t>The result of this shifting location is that the two producers will wind up locating near the center, or just to the left and</t>
  </si>
  <si>
    <t>Edgeworth-Bertrand, Hotelling, Von Stackelberg, Chamberlin, and Sweezy Models of Oligopoly</t>
  </si>
  <si>
    <t>IV.A.  Edgeworth-Bertrand</t>
  </si>
  <si>
    <t xml:space="preserve">     While the Cournot model enables us to derive a number of interesting insights concerning market structure and producer </t>
  </si>
  <si>
    <t xml:space="preserve">behavior, it is relatively restrictive in its assumptions.  One criticism of the model was raised by the French mathematician, </t>
  </si>
  <si>
    <r>
      <t>Joseph Bertrand (1822-1900) in his 1883 article, "</t>
    </r>
    <r>
      <rPr>
        <i/>
        <sz val="12"/>
        <rFont val="Helv"/>
        <family val="0"/>
      </rPr>
      <t>Théorie Mathématique de la Richesse Sociale</t>
    </r>
    <r>
      <rPr>
        <sz val="12"/>
        <rFont val="Helv"/>
        <family val="0"/>
      </rPr>
      <t xml:space="preserve">" in the </t>
    </r>
    <r>
      <rPr>
        <b/>
        <sz val="12"/>
        <rFont val="Helv"/>
        <family val="0"/>
      </rPr>
      <t>Journal des Savants</t>
    </r>
    <r>
      <rPr>
        <sz val="12"/>
        <rFont val="Helv"/>
        <family val="0"/>
      </rPr>
      <t>,</t>
    </r>
  </si>
  <si>
    <t>and was later developed more formally by the English economist Francis Y. Edgeworth (1845-1926) in his 1897 article,</t>
  </si>
  <si>
    <r>
      <t>"</t>
    </r>
    <r>
      <rPr>
        <i/>
        <sz val="12"/>
        <rFont val="Helv"/>
        <family val="0"/>
      </rPr>
      <t>La teoria pura del monopolio</t>
    </r>
    <r>
      <rPr>
        <sz val="12"/>
        <rFont val="Helv"/>
        <family val="0"/>
      </rPr>
      <t xml:space="preserve">" in the </t>
    </r>
    <r>
      <rPr>
        <b/>
        <sz val="12"/>
        <rFont val="Helv"/>
        <family val="0"/>
      </rPr>
      <t>Giornale degli Economisti</t>
    </r>
    <r>
      <rPr>
        <sz val="12"/>
        <rFont val="Helv"/>
        <family val="0"/>
      </rPr>
      <t>, both of whom rescued the original Cournot model from the</t>
    </r>
  </si>
  <si>
    <t>relative obscurity it had held since its publication in 1838.</t>
  </si>
  <si>
    <t xml:space="preserve">                        Figure 6</t>
  </si>
  <si>
    <t xml:space="preserve">The Edgeworth-Bertrand Duopoly Model           </t>
  </si>
  <si>
    <t>First Duopolist</t>
  </si>
  <si>
    <t>Second Duopolist</t>
  </si>
  <si>
    <r>
      <t xml:space="preserve">(monopoly price) </t>
    </r>
    <r>
      <rPr>
        <b/>
        <sz val="9"/>
        <rFont val="Helv"/>
        <family val="0"/>
      </rPr>
      <t>Pm</t>
    </r>
  </si>
  <si>
    <r>
      <t>Pm</t>
    </r>
    <r>
      <rPr>
        <sz val="9"/>
        <rFont val="Helv"/>
        <family val="0"/>
      </rPr>
      <t xml:space="preserve"> (monopoly price)</t>
    </r>
  </si>
  <si>
    <r>
      <t>(competitive price)</t>
    </r>
    <r>
      <rPr>
        <b/>
        <sz val="9"/>
        <rFont val="Helv"/>
        <family val="0"/>
      </rPr>
      <t xml:space="preserve"> Pc</t>
    </r>
  </si>
  <si>
    <r>
      <t>Pc</t>
    </r>
    <r>
      <rPr>
        <sz val="9"/>
        <rFont val="Helv"/>
        <family val="0"/>
      </rPr>
      <t xml:space="preserve"> (competitive price)</t>
    </r>
  </si>
  <si>
    <t xml:space="preserve">      Bertrand and Edgeworth both suggested that instead of Cournot's fixed quantity assumption, a duopoly producer would</t>
  </si>
  <si>
    <t>more likely hold price constant while the other producer engaged in selective price cutting to increase market share.</t>
  </si>
  <si>
    <t>explicitly take into account the behavior of other producers.  Collusion in price setting and market share determination</t>
  </si>
  <si>
    <t>was a common theme used to explain the Great Depression of the 1930's, much as OPEC came to focus</t>
  </si>
  <si>
    <t>attention on cartel behavior back in the 1970's.</t>
  </si>
  <si>
    <t xml:space="preserve">     One of the earliest models to take collusion into consideration was the price leadership theroy of Heinrich von</t>
  </si>
  <si>
    <t>model except that it took the duopolists' interdependence explicitly into account.  What it spelled out was a model of</t>
  </si>
  <si>
    <t>price leadership, or dominance, by one firm.</t>
  </si>
  <si>
    <t xml:space="preserve">     Let us utilize our initial Cournot model and recast it in terms of the Stackelberg dominant firm framework.  Stackelberg</t>
  </si>
  <si>
    <t xml:space="preserve">assumes that the first duopolist takes into account the profit-maximizing reaction function of the second producer.  Thus, </t>
  </si>
  <si>
    <t>the market demand of the original duopolist can be portrayed as:</t>
  </si>
  <si>
    <t xml:space="preserve">a    </t>
  </si>
  <si>
    <t xml:space="preserve">   -  (                         RF2                       </t>
  </si>
  <si>
    <t xml:space="preserve">Q2)            </t>
  </si>
  <si>
    <t xml:space="preserve">  -b</t>
  </si>
  <si>
    <t xml:space="preserve">where the expression in parentheses is the profit-maximizing reaction function of the second duopolist.  This yields a </t>
  </si>
  <si>
    <t>modified market demand equation of:</t>
  </si>
  <si>
    <t>, which when inverted yields a demand function of:</t>
  </si>
  <si>
    <t>, which yields a total revenue function of:</t>
  </si>
  <si>
    <t>TR(1) =</t>
  </si>
  <si>
    <t xml:space="preserve">Q1^2 </t>
  </si>
  <si>
    <t>and a marginal revenue function of:</t>
  </si>
  <si>
    <t>MR(1) =</t>
  </si>
  <si>
    <t xml:space="preserve">Setting the modified marginal revenue function equal to the firm's marginal cost </t>
  </si>
  <si>
    <t xml:space="preserve">yields the firm's modified profit </t>
  </si>
  <si>
    <t>maximizing function (which is similar to Cournot's reaction function) as:</t>
  </si>
  <si>
    <t xml:space="preserve"> Output(1)=(MR-MC)=</t>
  </si>
  <si>
    <t>Q1                 =</t>
  </si>
  <si>
    <t>, which results in:</t>
  </si>
  <si>
    <t>Now since the first duopolist has output at</t>
  </si>
  <si>
    <t>by inserting this value into the second duopolist's demand function,</t>
  </si>
  <si>
    <t>we obtain the second duopolist's output as:</t>
  </si>
  <si>
    <t xml:space="preserve"> - Q1</t>
  </si>
  <si>
    <t>, which simplified and inverted yields</t>
  </si>
  <si>
    <t>P2 =</t>
  </si>
  <si>
    <t xml:space="preserve">, from which we obtain the second firm's total </t>
  </si>
  <si>
    <t>revenue function:</t>
  </si>
  <si>
    <t xml:space="preserve">Q          </t>
  </si>
  <si>
    <t>, and a marginal revenue function of:</t>
  </si>
  <si>
    <t>, which when set to the  marginal cost yields:</t>
  </si>
  <si>
    <t>Output(2)=(MR-MC)=</t>
  </si>
  <si>
    <t>Q1                    =</t>
  </si>
  <si>
    <t>,  which results in:</t>
  </si>
  <si>
    <t>which in turn would lead the second duopolist to respond likewise.  The result is that the Edgeworth-Bertrand model</t>
  </si>
  <si>
    <t>yields an unstable equilibrium, with market price fluctuating between the competitive and monopoly levels, as shown</t>
  </si>
  <si>
    <t>in Figure 6.</t>
  </si>
  <si>
    <t xml:space="preserve">     There are several criticisms of the Edgeworth-Bertrand model.  One is that the assumption that a duopolist would keep</t>
  </si>
  <si>
    <t xml:space="preserve">his/her price unchanged while the other engaged in selective price cutting to increase market share is inconsistent with </t>
  </si>
  <si>
    <t xml:space="preserve">both economic theory and empirical evidence.  Another criticism is that, like the hapless duopolists in the Cournot model, </t>
  </si>
  <si>
    <t>they never seem to learn anything from their interdependence, thus ruling out any form of collusion.  A third is that market</t>
  </si>
  <si>
    <t xml:space="preserve"> price instability is inconsistent with most observed forms of oligopoly behavior.  And finally, oligopoly markets are often</t>
  </si>
  <si>
    <t xml:space="preserve">characterized by nonprice competition in which product differentiation rather than price is a key element in determining </t>
  </si>
  <si>
    <t>market share.</t>
  </si>
  <si>
    <t>IV.B.  Hotelling's Paradox</t>
  </si>
  <si>
    <t xml:space="preserve">     One formulation of oligopoly behavior that clarified the role of nonprice competition was Harold Hotelling's (1899-1973)</t>
  </si>
  <si>
    <r>
      <t xml:space="preserve">1929 </t>
    </r>
    <r>
      <rPr>
        <b/>
        <sz val="12"/>
        <rFont val="Helv"/>
        <family val="0"/>
      </rPr>
      <t>Journal of Political Economy</t>
    </r>
    <r>
      <rPr>
        <sz val="12"/>
        <rFont val="Helv"/>
        <family val="0"/>
      </rPr>
      <t xml:space="preserve"> article, "Stability in Competition".  Hotelling combined the insights of the Cournot</t>
    </r>
  </si>
  <si>
    <t>Figure 7</t>
  </si>
  <si>
    <t>and Edgeworth-Bertrand models with insights from location theory (e.g., Heinrich Von Thunen (1780-1850) in</t>
  </si>
  <si>
    <t xml:space="preserve">duopolist will adopt a profit maximizing level of output after the first firm has been able to do so.    What makes this more problematic is </t>
  </si>
  <si>
    <t xml:space="preserve">that each firm has an identical cost function.  Stackelberg thought that such behavior would be so destructive that only intervention </t>
  </si>
  <si>
    <t>by the state could protect society's interests, and he embraced fascism accordingly.</t>
  </si>
  <si>
    <t xml:space="preserve">      We can now summarize the various oligopoly equilibria thus far derived.  Figure 8 provides a graphical comparison of equilibrium</t>
  </si>
  <si>
    <t>under classical monopoly, Cournot/Edgeworth-Bertrand duopoly, and Stackelberg duopoly behavior.  Classical monopoly still</t>
  </si>
  <si>
    <t>stands out as the model involving the greatest level of losses in social welfare, followed by the Cournot/Edgeworth-Bertrand variations</t>
  </si>
  <si>
    <t>followed by the von Stackelberg equilibrium, and finally, the classical competitive market equilibrium.</t>
  </si>
  <si>
    <t>Figure 8</t>
  </si>
  <si>
    <t xml:space="preserve"> Equilibrium Output Under Alternative Market Structures</t>
  </si>
  <si>
    <t>Classical Monopoly</t>
  </si>
  <si>
    <t xml:space="preserve">  Cournot Duopoly</t>
  </si>
  <si>
    <t>Stackelberg Duopoly</t>
  </si>
  <si>
    <t>Competitive Market Equilibrium</t>
  </si>
  <si>
    <t>IV.D. Chamberlin-Robinson Models of Producer Collusion</t>
  </si>
  <si>
    <t xml:space="preserve">     As the von Stackelberg model makes clear, once it is understood that interdependence can lead to substantial differences in</t>
  </si>
  <si>
    <t xml:space="preserve">producer profits, firms have an incentive to collude.  Yet Stackelberg's model does not result in the maximum amount of profits </t>
  </si>
  <si>
    <r>
      <t xml:space="preserve">that could be shared.  However, just one year before, Joan Robinson (1904-1981) in her 1933 book </t>
    </r>
    <r>
      <rPr>
        <b/>
        <sz val="12"/>
        <rFont val="Helv"/>
        <family val="0"/>
      </rPr>
      <t>The Economics of</t>
    </r>
  </si>
  <si>
    <r>
      <t>Imperfect Competition</t>
    </r>
    <r>
      <rPr>
        <sz val="12"/>
        <rFont val="Helv"/>
        <family val="0"/>
      </rPr>
      <t xml:space="preserve">, and Edward Chamberlin (1899-1967), in his 1933 book, </t>
    </r>
    <r>
      <rPr>
        <b/>
        <sz val="12"/>
        <rFont val="Helv"/>
        <family val="0"/>
      </rPr>
      <t xml:space="preserve">The Theory of Monopolistic Competition, </t>
    </r>
  </si>
  <si>
    <t>formulated a simple variation of the existing oligopoly models in which firms could engage in collusion to achieve the monopoly</t>
  </si>
  <si>
    <t>allocation of output, then distribute profits accordingly.  In terms of our present framework, the maximum amount of profit to be gained</t>
  </si>
  <si>
    <t>through collusion would be</t>
  </si>
  <si>
    <t>, in which output would be equivalent to the classical monopoly level of:</t>
  </si>
  <si>
    <t>and the corresponding market equilibrium price would be</t>
  </si>
  <si>
    <t>If we had but two producers, each with identical</t>
  </si>
  <si>
    <t>costs, then perfect collusion would result in each having equal profits given at:</t>
  </si>
  <si>
    <t>As long as the transactions costs of</t>
  </si>
  <si>
    <t>collusion do not exceed the economic gain to the producers, they have an incentive to collude in setting output in the rate of the</t>
  </si>
  <si>
    <t>right of consumer 8, shown here as A' and B", respectively.  If these final locations can be given values of 7.5 and 8.5,</t>
  </si>
  <si>
    <t>total transport costs will now add up to $63.50, even higher than the originally destructive relocation, but at least at a</t>
  </si>
  <si>
    <t>stable equilibrium.</t>
  </si>
  <si>
    <t xml:space="preserve">          Hotelling's model could easily be modified to substitute product attributes for distance characteristics.  Once we</t>
  </si>
  <si>
    <t xml:space="preserve">view this model in these terms, we see that oligopoly markets can easily be characterized by attempts to cosmetically </t>
  </si>
  <si>
    <t xml:space="preserve">differentiate products from each other, even though prices may be relatively similar and stable.  Not surprisingly, </t>
  </si>
  <si>
    <t>advertising is most heavily concentrated in oligopoly industries.  However, it should be noted that in a world of</t>
  </si>
  <si>
    <t>incomplete information, not all advertising can be characterized as cosmetic product differentiation.</t>
  </si>
  <si>
    <t>IV.C.  Von Stackelberg Equilibrium</t>
  </si>
  <si>
    <t xml:space="preserve">        As we have seen, oligopoly markets can lead to a misallocation of resources.  They can do so by nonmarginal</t>
  </si>
  <si>
    <t>cost price output decisions, by price instability, and by wasteful advertising expenditures.  Yet the welfare losses from</t>
  </si>
  <si>
    <t>these types of behavior are generally not as greate as the welfare losses under classical monopoly.  During the</t>
  </si>
  <si>
    <t>Great Depression era of the 1930's, many economists began to consider what would happen when oligopoly producers</t>
  </si>
  <si>
    <t>kinked demand curve have a much higher own-price elasticity of demand than on AB.  Such a kinded demand curve results in two</t>
  </si>
  <si>
    <t>differently sloped marginal revenue curves, DE and FG, which are jointed vertically by the segment EF.  Under such conditions, it</t>
  </si>
  <si>
    <t xml:space="preserve">would be possible for firms in an industry to have varying marginal costs such as MC1, MC2, or MC3, yet still maximize profits at a </t>
  </si>
  <si>
    <t>single output level and at a single price.  For Sweezy, such price and output rigidity was a major factor in contributing to the depth</t>
  </si>
  <si>
    <r>
      <t>and Money</t>
    </r>
    <r>
      <rPr>
        <sz val="12"/>
        <rFont val="Helv"/>
        <family val="0"/>
      </rPr>
      <t>, by John Maynard Keynes (1883-1946), when first published in 1936.</t>
    </r>
  </si>
  <si>
    <t>Figure 9</t>
  </si>
  <si>
    <t>The Sweezy Kinked Demand Curve Oligopoly Model</t>
  </si>
  <si>
    <t>A</t>
  </si>
  <si>
    <t>D</t>
  </si>
  <si>
    <t xml:space="preserve">               AR'</t>
  </si>
  <si>
    <t xml:space="preserve"> B</t>
  </si>
  <si>
    <t xml:space="preserve">MR'     </t>
  </si>
  <si>
    <t>E</t>
  </si>
  <si>
    <t xml:space="preserve">AR          </t>
  </si>
  <si>
    <t>MC1</t>
  </si>
  <si>
    <t>MC2</t>
  </si>
  <si>
    <t>F</t>
  </si>
  <si>
    <t>MC3</t>
  </si>
  <si>
    <t xml:space="preserve">MR           </t>
  </si>
  <si>
    <t>G</t>
  </si>
  <si>
    <t xml:space="preserve">C   </t>
  </si>
  <si>
    <t xml:space="preserve">     The graphical portrayal of Figure 9 is straightforward.  Utilizing the original inverse demand function from equation 2, we obtain the</t>
  </si>
  <si>
    <t>original marginal revenue function from equation 4 as  P =</t>
  </si>
  <si>
    <t xml:space="preserve">  We now arbitrarily</t>
  </si>
  <si>
    <t>select an output level along the original demand and marginal revenue function, set here at:</t>
  </si>
  <si>
    <t xml:space="preserve">where a kink in the </t>
  </si>
  <si>
    <t>original demand curve is to occur to derive a flatter demand curve with defined as:</t>
  </si>
  <si>
    <t>P(DB)=</t>
  </si>
  <si>
    <t>, which in turn yield a corresponding marginal</t>
  </si>
  <si>
    <t>revenue functions of:</t>
  </si>
  <si>
    <t>MR(DE)=</t>
  </si>
  <si>
    <t>To the left of pont B on the demand curve, the own-price elasticity of demand is so great that any firm that tries to raise price and</t>
  </si>
  <si>
    <t>reduce output quickly would lose revenues, while to the right of B, the own-price elasticity of demand is so much less that no firm</t>
  </si>
  <si>
    <t>would try to reduce prices and expand output.  In effect, if an oligopolist tried to raise prices, it would lose sales to its competition</t>
  </si>
  <si>
    <t>since other firms would not be willing to match the price increase.  Conversely, an oligopolist owuld avoid using price cuts to</t>
  </si>
  <si>
    <t>match the price increase.  Conversely, an oligopolist would avoid using price cuts to increase market share since all competitors</t>
  </si>
  <si>
    <t>immediately would match any price cuts.</t>
  </si>
  <si>
    <t xml:space="preserve">     To see how elasticity changes at the inflection point, let us use the point elasticity formula to compare the two values:</t>
  </si>
  <si>
    <t>Total market output is the sum of output from the two producers (i.e., the sum of quantities from equations 50 and 55), or</t>
  </si>
  <si>
    <t xml:space="preserve">              +          Q2</t>
  </si>
  <si>
    <t>Q = (Q1 + Q2) =</t>
  </si>
  <si>
    <t xml:space="preserve">           =</t>
  </si>
  <si>
    <t>In turn, we can calculate total revenues in the market as the product of the market price from the market demand curve times the</t>
  </si>
  <si>
    <t>market quantity.  Market price is based on the original demand equation, or:</t>
  </si>
  <si>
    <t>, and total revenue is:</t>
  </si>
  <si>
    <t>TR =</t>
  </si>
  <si>
    <t xml:space="preserve">Q              </t>
  </si>
  <si>
    <t>and in turn, we can now calculate total cost as:</t>
  </si>
  <si>
    <t xml:space="preserve">  =</t>
  </si>
  <si>
    <t>, from which we derive total profits as:</t>
  </si>
  <si>
    <t>Profit = (TR-TC) =</t>
  </si>
  <si>
    <t xml:space="preserve">         In this model, the rate of return, or ROR, (as measured on sales) is equalized between the two producers, which we define as: </t>
  </si>
  <si>
    <t>ROR = (TR-TC)/TR, such that for the first firm, we have:</t>
  </si>
  <si>
    <t>and</t>
  </si>
  <si>
    <t>TC(1) =</t>
  </si>
  <si>
    <t>, so profit is:</t>
  </si>
  <si>
    <t>ROR(1) =</t>
  </si>
  <si>
    <t>, and in turn, for producer number 2, we have:</t>
  </si>
  <si>
    <t>TR(2) =</t>
  </si>
  <si>
    <t>TC(2)=</t>
  </si>
  <si>
    <t>ROR(2) =</t>
  </si>
  <si>
    <t>, and for the market as a whole we have:</t>
  </si>
  <si>
    <t>TR(1+2) =</t>
  </si>
  <si>
    <t>ROR(1+2) =</t>
  </si>
  <si>
    <t>While the rate of return has been equalized among the producers, the first duopolist has been able to capture two-thirds of profits,</t>
  </si>
  <si>
    <t>whereas under the Cournot duopoly model, each producer wound up splitting equally the somewhat higher total market profits of</t>
  </si>
  <si>
    <t>The difference between the Stackelberg and Cournot models is that the Stackelberg model assumes that the second</t>
  </si>
  <si>
    <t xml:space="preserve">     As we have seen, when there are relatively few firms in a market, the opportunities for collusion increase.  However, whether the</t>
  </si>
  <si>
    <t>transactions costs of collusion are less than or greater than the economic benefits; whether producer costs are homogeneous or</t>
  </si>
  <si>
    <t>heterogeneous; whether firms are pursuing identical objectives such as profit maximization, market share, or sales maximization; and</t>
  </si>
  <si>
    <t>the level and distribution of information among firms in and outside the market.  Given these factors, firms then adopt particular</t>
  </si>
  <si>
    <t xml:space="preserve">strategies involving production levels, pricing, product differentiation, and advertising.  Depending on the firm's perception of </t>
  </si>
  <si>
    <t>expected benefits and the expected behavior of other firms, it may adopt a strategy based on collusion or competition.</t>
  </si>
  <si>
    <t xml:space="preserve">     One promising approach to explaining and predicting oligopoly behavior is game theory.  It was first developed by the Hungarian-</t>
  </si>
  <si>
    <t>born mathematician John von Neumann (1903-1957), and by the economist Oskar Morgenstern (1902-1977), in their 1944 book</t>
  </si>
  <si>
    <r>
      <t>The Theory of Games and Economic Behavior</t>
    </r>
    <r>
      <rPr>
        <sz val="12"/>
        <rFont val="Helv"/>
        <family val="0"/>
      </rPr>
      <t>.  Using topology and related mathematical tools, they defined a methodological</t>
    </r>
  </si>
  <si>
    <t>apparatus that could be used to explain not only oligopoly behavior but also any form of decision making in which the payoffs to</t>
  </si>
  <si>
    <t>any one participant are interdependent with other participants.  Examples include games of chance, diplomacy, politics, and military</t>
  </si>
  <si>
    <t>strategy.  We will limit our discussion here to providing an outline of basic concepts in game theoretic models.</t>
  </si>
  <si>
    <r>
      <t xml:space="preserve">     Let us begin by defining two types of assumptions used in game theory:  </t>
    </r>
    <r>
      <rPr>
        <b/>
        <sz val="12"/>
        <rFont val="Helv"/>
        <family val="0"/>
      </rPr>
      <t>structural assumptions</t>
    </r>
    <r>
      <rPr>
        <sz val="12"/>
        <rFont val="Helv"/>
        <family val="0"/>
      </rPr>
      <t xml:space="preserve"> and</t>
    </r>
    <r>
      <rPr>
        <b/>
        <sz val="12"/>
        <rFont val="Helv"/>
        <family val="0"/>
      </rPr>
      <t xml:space="preserve"> behavioral assumptions</t>
    </r>
    <r>
      <rPr>
        <sz val="12"/>
        <rFont val="Helv"/>
        <family val="0"/>
      </rPr>
      <t>.</t>
    </r>
  </si>
  <si>
    <t>In terms of structural assumptions, games can have any number of players.  As with our duopoly models, one of the most common</t>
  </si>
  <si>
    <r>
      <t xml:space="preserve">is a </t>
    </r>
    <r>
      <rPr>
        <b/>
        <sz val="12"/>
        <rFont val="Helv"/>
        <family val="0"/>
      </rPr>
      <t>two-person game</t>
    </r>
    <r>
      <rPr>
        <sz val="12"/>
        <rFont val="Helv"/>
        <family val="0"/>
      </rPr>
      <t xml:space="preserve">.  A </t>
    </r>
    <r>
      <rPr>
        <b/>
        <sz val="12"/>
        <rFont val="Helv"/>
        <family val="0"/>
      </rPr>
      <t>payoff</t>
    </r>
    <r>
      <rPr>
        <sz val="12"/>
        <rFont val="Helv"/>
        <family val="0"/>
      </rPr>
      <t xml:space="preserve"> defines the outcome of a game.  While we have generally used profit maximization in portraying firm</t>
    </r>
  </si>
  <si>
    <r>
      <t xml:space="preserve">behavior, game theory allows for any kind of payoff to be included.  Thus, in addition to </t>
    </r>
    <r>
      <rPr>
        <b/>
        <sz val="12"/>
        <rFont val="Helv"/>
        <family val="0"/>
      </rPr>
      <t>profit maximization</t>
    </r>
    <r>
      <rPr>
        <sz val="12"/>
        <rFont val="Helv"/>
        <family val="0"/>
      </rPr>
      <t>, a payoff may also be</t>
    </r>
  </si>
  <si>
    <r>
      <t xml:space="preserve">defined in terms of </t>
    </r>
    <r>
      <rPr>
        <b/>
        <sz val="12"/>
        <rFont val="Helv"/>
        <family val="0"/>
      </rPr>
      <t>sales maximization</t>
    </r>
    <r>
      <rPr>
        <sz val="12"/>
        <rFont val="Helv"/>
        <family val="0"/>
      </rPr>
      <t xml:space="preserve"> or in terms of </t>
    </r>
    <r>
      <rPr>
        <b/>
        <sz val="12"/>
        <rFont val="Helv"/>
        <family val="0"/>
      </rPr>
      <t>market share</t>
    </r>
    <r>
      <rPr>
        <sz val="12"/>
        <rFont val="Helv"/>
        <family val="0"/>
      </rPr>
      <t>, depending on a firm's goals.  Moreover, game theory also can</t>
    </r>
  </si>
  <si>
    <t>be extended to allow for differing strategies among players so that one player could be pursuing profit maximization while another could</t>
  </si>
  <si>
    <t>monopoly allocation.  However, where producers have heterogeneous costs, then some variation of von Stackelberg's dominant</t>
  </si>
  <si>
    <t>firm model is likely to prevail as the economic gains from collusion are reduced accordingly.  The difficulties that the Organization of</t>
  </si>
  <si>
    <t>Petroleum Exporting Countries, or OPEC, have had over the years in establishing sustainable market production quotas among its</t>
  </si>
  <si>
    <t>members illustrates the difficulty in collusion when heterogeneous costs are present.</t>
  </si>
  <si>
    <t>IV.E.  Sweezy's Kinked Demand Curve Model</t>
  </si>
  <si>
    <t xml:space="preserve">     Although the oligopoly models we have thus far reviewed provide a clear rationale for collusion, they focus more on quantity than</t>
  </si>
  <si>
    <t>on price.  Since, as Hotelling pointed out, oligopoly firms tend to engage in nonprice competition, there was still a need to explain</t>
  </si>
  <si>
    <t>price stability from the perspective of demand.  One such effort was provided by Paul M. Sweezy (1910-                ), in his 1939</t>
  </si>
  <si>
    <t xml:space="preserve">     Sweezy's explanation of price stability in oligopoly markets is based on a kinked demand curve such as the one illustrated in</t>
  </si>
  <si>
    <t xml:space="preserve">Figure 9.  Instead of a standard linear demand curve with a constant slope, such as at AC, Sweezy suggested that one segment such </t>
  </si>
  <si>
    <t>as DB would be relatively flat in comparison to the rest of the demand curve, shown here as BC.  All points to the left of B on the</t>
  </si>
  <si>
    <t>B2</t>
  </si>
  <si>
    <t>B3</t>
  </si>
  <si>
    <t>Row Minimum:</t>
  </si>
  <si>
    <t>(Maximin loss)</t>
  </si>
  <si>
    <t>A1</t>
  </si>
  <si>
    <t>Firm I</t>
  </si>
  <si>
    <t xml:space="preserve">          A2</t>
  </si>
  <si>
    <t>A3</t>
  </si>
  <si>
    <t>Column Maximum:</t>
  </si>
  <si>
    <t>(Minimax gain)</t>
  </si>
  <si>
    <t>Optimal Strategy</t>
  </si>
  <si>
    <t>Payoff</t>
  </si>
  <si>
    <t>Solution Tableau:</t>
  </si>
  <si>
    <t xml:space="preserve">     In Table 6, Firm I and II each have three alternative strategies.  If Firm I adopts strategy A1 and Firm II adopts strategy B1, the payoff</t>
  </si>
  <si>
    <t>Jeux:</t>
  </si>
  <si>
    <t>Inverse Matrix:</t>
  </si>
  <si>
    <t xml:space="preserve">to Firm I will be a net gain of 3, with a corresponding loss of 3 to Firm II.  As long as we define the gain to one firm as equal to the loss </t>
  </si>
  <si>
    <r>
      <t xml:space="preserve">to another firm for each alternative strategy, we have a </t>
    </r>
    <r>
      <rPr>
        <b/>
        <sz val="12"/>
        <rFont val="Helv"/>
        <family val="0"/>
      </rPr>
      <t>zero-sum game</t>
    </r>
    <r>
      <rPr>
        <sz val="12"/>
        <rFont val="Helv"/>
        <family val="0"/>
      </rPr>
      <t xml:space="preserve">.  We will also assume that the payoff definition is the same for </t>
    </r>
  </si>
  <si>
    <t xml:space="preserve">each firm, e.g., that the payoff is consistently defined for each player in terms of profits, sales, or market share.  The final structural </t>
  </si>
  <si>
    <t>A2</t>
  </si>
  <si>
    <t>assumption is that the respective payoffs are known to all players even though the strategy that a player may adopt may be unknown.</t>
  </si>
  <si>
    <r>
      <t xml:space="preserve">This is equivalent to </t>
    </r>
    <r>
      <rPr>
        <b/>
        <sz val="12"/>
        <rFont val="Helv"/>
        <family val="0"/>
      </rPr>
      <t>quasi-perfect information</t>
    </r>
    <r>
      <rPr>
        <sz val="12"/>
        <rFont val="Helv"/>
        <family val="0"/>
      </rPr>
      <t>, a somewhat restrictive assumption that can be relaxed to take into account the</t>
    </r>
  </si>
  <si>
    <t>acquisition costs of strategic information, which for now we will leave aside.</t>
  </si>
  <si>
    <t xml:space="preserve">     Von Neumann and Morgenstern's initial behavioral assumption is that interdependent oligopolists behave as rivals rather than </t>
  </si>
  <si>
    <t>as collaborators, i.e., they adopt strategies that seek to minimize the maximum amount of damage that one's rival could inflict.</t>
  </si>
  <si>
    <r>
      <t xml:space="preserve">Such a decision is known as a </t>
    </r>
    <r>
      <rPr>
        <b/>
        <sz val="12"/>
        <rFont val="Helv"/>
        <family val="0"/>
      </rPr>
      <t>maximin strategy</t>
    </r>
    <r>
      <rPr>
        <sz val="12"/>
        <rFont val="Helv"/>
        <family val="0"/>
      </rPr>
      <t>.  For Firm I, the appropriate maximin strategy is A1 in that no matter what firm II does,</t>
    </r>
  </si>
  <si>
    <t>firm I will have as a minimum no loss in its payoff, whereas if it adopts A2 or A3, it could suffer losses of -4 and -6, respectively.</t>
  </si>
  <si>
    <t xml:space="preserve">     Turning to firm II, its worst possible outcomes represent the best possible outcomes for Firm I.  It should therefore choose among </t>
  </si>
  <si>
    <t xml:space="preserve">the column maximum values the strategy which minimizes the maximum amount of damage it could suffer, that it, it should pursue a </t>
  </si>
  <si>
    <r>
      <t>minimax strategy</t>
    </r>
    <r>
      <rPr>
        <sz val="12"/>
        <rFont val="Helv"/>
        <family val="0"/>
      </rPr>
      <t>.  In our present example, firm II should thus adopt strategy B2 since the worst that it could suffer would be no loss</t>
    </r>
  </si>
  <si>
    <t>in its payoff, whereas if it adopted B1, it would experience a loss of 5, and if it adopted B3, it would experience a loss of 7.  As long</t>
  </si>
  <si>
    <r>
      <t xml:space="preserve">as one strategy is superior to all others, it is known as a </t>
    </r>
    <r>
      <rPr>
        <b/>
        <sz val="12"/>
        <rFont val="Helv"/>
        <family val="0"/>
      </rPr>
      <t>dominant strategy</t>
    </r>
    <r>
      <rPr>
        <sz val="12"/>
        <rFont val="Helv"/>
        <family val="0"/>
      </rPr>
      <t>.</t>
    </r>
  </si>
  <si>
    <t>Own-Price Point Elasticity = P/(P-MR):</t>
  </si>
  <si>
    <t>For DB at B,</t>
  </si>
  <si>
    <t xml:space="preserve"> = 3/(3-2) =</t>
  </si>
  <si>
    <t>For BC at B,</t>
  </si>
  <si>
    <t xml:space="preserve"> = 3/(3-1) =</t>
  </si>
  <si>
    <t>Since the price elasticity is much greater to the left of the kind than to the right, price stability tends to result even when firms have</t>
  </si>
  <si>
    <t>differing marginal costs of production and even with differing levels of market demand.</t>
  </si>
  <si>
    <r>
      <t>Economy</t>
    </r>
    <r>
      <rPr>
        <sz val="12"/>
        <rFont val="Helv"/>
        <family val="0"/>
      </rPr>
      <t xml:space="preserve"> article, "The Kinky Oligopoly Demand Curve and Rigid Prices," George Stigler found no evidence to support Sweezy's</t>
    </r>
  </si>
  <si>
    <t>contention that oligopolists would avoid price increases as much as price decreases.  Similar conclusions were reached by Julian</t>
  </si>
  <si>
    <t xml:space="preserve">from the lack of empirical support, the kinked demand curve model also provides no explanation as to where or why the kind occurs.  </t>
  </si>
  <si>
    <t>For these reasons, it has been viewed as incomplete and economists have sought alternative explanations of oligopoly behavior,</t>
  </si>
  <si>
    <t>most notably through the development of game theory.</t>
  </si>
  <si>
    <t>V.</t>
  </si>
  <si>
    <t>Game Theory</t>
  </si>
  <si>
    <t>rival non-colluding firms, even in the presence of positive economic profits.  Nash equilibria can also exist in constant-sum games,</t>
  </si>
  <si>
    <t>although they are not likely to possess long-run stability.</t>
  </si>
  <si>
    <t xml:space="preserve">     Not all games are strictly determined.  If they are not, then there will be no saddle point equilibrium.  As an example, let us compare</t>
  </si>
  <si>
    <t>the zero-sum game shown in Table 6 with the game in Table 7, in which the B2 and B3 payoffs of row A1 have been reversed.  In this</t>
  </si>
  <si>
    <t>case, there is no stable equilibrium based on the joint pursuit of minimax and maximin strategies between the two players.</t>
  </si>
  <si>
    <t xml:space="preserve">       Table 7</t>
  </si>
  <si>
    <t>Alternative Payoff Matrix for a Two-Person Zero-Sum Economic Game</t>
  </si>
  <si>
    <t>gain</t>
  </si>
  <si>
    <t>loss</t>
  </si>
  <si>
    <t xml:space="preserve">    In Table 7, the minimax column value for Firm I is 2 (Strategy B3), while the maximin row value for Firm II it is 0 (Strategy A1).  If</t>
  </si>
  <si>
    <t>Firm I pursues a minimax strategy, it will choose A2, while Firm II's maximin strategy would be B3.  Yet if Firm II knew in advance</t>
  </si>
  <si>
    <t>that Firm I would choose A2, it would have chosen B1, which would have given it a net payoff of 4 and a corresponding loss of 4</t>
  </si>
  <si>
    <t>to Firm I.  But if Firm I knew that Firm II would choose B1, then it would select A3, since this would give it a payoff of 5, and a</t>
  </si>
  <si>
    <t>corresponding loss of 5 to Firm II.  Under such circumstances, no saddle point equilibrium exists as long as the two firms pursue</t>
  </si>
  <si>
    <t>minimax and maximin strategies.  They could, however, bargain for a stable solution such as A1 and B3, in which case neither</t>
  </si>
  <si>
    <t xml:space="preserve">firm would gain nor lose anything.  Yet if bargaining is ruled out by virtue of the minimax and maximin assumptions, the two firms </t>
  </si>
  <si>
    <r>
      <t xml:space="preserve">might be better off each pursuing </t>
    </r>
    <r>
      <rPr>
        <b/>
        <sz val="12"/>
        <rFont val="Helv"/>
        <family val="0"/>
      </rPr>
      <t>mixed strategies</t>
    </r>
    <r>
      <rPr>
        <sz val="12"/>
        <rFont val="Helv"/>
        <family val="0"/>
      </rPr>
      <t xml:space="preserve">.  Under a mixed strategy, if players engage in a </t>
    </r>
    <r>
      <rPr>
        <b/>
        <sz val="12"/>
        <rFont val="Helv"/>
        <family val="0"/>
      </rPr>
      <t>repeating game</t>
    </r>
    <r>
      <rPr>
        <sz val="12"/>
        <rFont val="Helv"/>
        <family val="0"/>
      </rPr>
      <t>, each is better</t>
    </r>
  </si>
  <si>
    <t>off using a random choice of strategies, since any consistent set of choices would reveal valuable information to the other player.</t>
  </si>
  <si>
    <t>This explains why travel plans of top government and business officials change frequently, and why professors choose quiz</t>
  </si>
  <si>
    <t>questions at random.  Curiously, if each player assigned the same probabilities to each payoff, a Nash equilibrium would still</t>
  </si>
  <si>
    <t>result, but real world situations rarely find players engaged in a game with full knowledge of each other's identical probabilities.</t>
  </si>
  <si>
    <t xml:space="preserve">     We have already noted that games can be zero or constant-sum.  While few games are negative-sum, one of them known as</t>
  </si>
  <si>
    <t>be pursuing market share objectives.  It is partly for this reason that game theory is so appealing to economists.  In short, it permits a</t>
  </si>
  <si>
    <t>relatively rich variety of assumptions to be incorporated into the formulation of a game.</t>
  </si>
  <si>
    <t xml:space="preserve">     On important characteristic of payoffs in game theory is whether the gains of a winner exceed the losses of a loser.  Von Neumann </t>
  </si>
  <si>
    <r>
      <t xml:space="preserve">and Morgenstern chose to categorize as </t>
    </r>
    <r>
      <rPr>
        <b/>
        <sz val="12"/>
        <rFont val="Helv"/>
        <family val="0"/>
      </rPr>
      <t>zero-sum</t>
    </r>
    <r>
      <rPr>
        <sz val="12"/>
        <rFont val="Helv"/>
        <family val="0"/>
      </rPr>
      <t xml:space="preserve"> any game in which the gains to the winner equal the losses of the loser, as opposed</t>
    </r>
  </si>
  <si>
    <r>
      <t xml:space="preserve">to </t>
    </r>
    <r>
      <rPr>
        <b/>
        <sz val="12"/>
        <rFont val="Helv"/>
        <family val="0"/>
      </rPr>
      <t>constant-sum</t>
    </r>
    <r>
      <rPr>
        <sz val="12"/>
        <rFont val="Helv"/>
        <family val="0"/>
      </rPr>
      <t xml:space="preserve"> games.  A </t>
    </r>
    <r>
      <rPr>
        <b/>
        <sz val="12"/>
        <rFont val="Helv"/>
        <family val="0"/>
      </rPr>
      <t>positive-sum</t>
    </r>
    <r>
      <rPr>
        <sz val="12"/>
        <rFont val="Helv"/>
        <family val="0"/>
      </rPr>
      <t xml:space="preserve"> game is one in which the gains of the winner exceed the losses of the loser, while a </t>
    </r>
    <r>
      <rPr>
        <b/>
        <sz val="12"/>
        <rFont val="Helv"/>
        <family val="0"/>
      </rPr>
      <t>negative</t>
    </r>
    <r>
      <rPr>
        <sz val="12"/>
        <rFont val="Helv"/>
        <family val="0"/>
      </rPr>
      <t>-</t>
    </r>
  </si>
  <si>
    <r>
      <t>sum</t>
    </r>
    <r>
      <rPr>
        <sz val="12"/>
        <rFont val="Helv"/>
        <family val="0"/>
      </rPr>
      <t xml:space="preserve"> game is one in which the gains of the winner are less than the losses of the loser.  While many games can be characterized as</t>
    </r>
  </si>
  <si>
    <t>zero-sum and while some can be characterized as positive-sum, obviously there are few that are negative-sum.</t>
  </si>
  <si>
    <r>
      <t xml:space="preserve">     To clarify the interdependence of players, game theory models make use of </t>
    </r>
    <r>
      <rPr>
        <b/>
        <sz val="12"/>
        <rFont val="Helv"/>
        <family val="0"/>
      </rPr>
      <t>payoff matrices</t>
    </r>
    <r>
      <rPr>
        <sz val="12"/>
        <rFont val="Helv"/>
        <family val="0"/>
      </rPr>
      <t>.  A payoff matrix defines the outcomes</t>
    </r>
  </si>
  <si>
    <t>associated with alternative strategies of each player.  While there can be any number of strategies for a player, as long as there are only</t>
  </si>
  <si>
    <t>two players, a single matrix will suffice to define all of the alternative possible payoffs.</t>
  </si>
  <si>
    <t xml:space="preserve">      Table 6</t>
  </si>
  <si>
    <t>Payoff Matrix for a Two-Person Zero-Sum Economic Game</t>
  </si>
  <si>
    <t>Firm II</t>
  </si>
  <si>
    <t>Determinant:</t>
  </si>
  <si>
    <t>B1</t>
  </si>
  <si>
    <r>
      <t>The Prisoner's Dilemma</t>
    </r>
    <r>
      <rPr>
        <sz val="12"/>
        <rFont val="Helv"/>
        <family val="0"/>
      </rPr>
      <t xml:space="preserve">, is among the best known.  As first described in game-theoretic terms by A.W. Tucker in the 1940's, this </t>
    </r>
  </si>
  <si>
    <t>game involves two prisoners arrested for a crime.  They are separated from each other at the outset and are not permitted to</t>
  </si>
  <si>
    <t>communicate with each other.  The prosecuting attorney then says to each of them the following:  "If neither of you confesses,</t>
  </si>
  <si>
    <t>each of you will go to jail for 3 years.  If, on the other hand, you confess and your friend does not, then you will receive a sentence</t>
  </si>
  <si>
    <t>of one year, while your friend will receive a sentence of 10 years.  However, if both of you confess, each of you will receive a 6</t>
  </si>
  <si>
    <t>year sentence."</t>
  </si>
  <si>
    <t xml:space="preserve">     Table 8 summarizes the payoff matrix for the two prisoners.  The first number in each cell lists the sentence for prisoner A, given</t>
  </si>
  <si>
    <t>prisoner B's response.  The dilemma is such that no matter what the other prisoner does, it is always better for each prisoner to confess,</t>
  </si>
  <si>
    <t>which would result in each receiving a 6-year sentence.  Prisoner A's decision to confess based on the assumption that prisoner B</t>
  </si>
  <si>
    <t xml:space="preserve">will also confess is a Nash equilibrium.  However, if the two prisoners each cooperated, they could have each received a lesser </t>
  </si>
  <si>
    <t>sentence of 3 years.  Empirical studies show that whenever possible, cooperation , or collusion, will be pursued, often to the detriment</t>
  </si>
  <si>
    <t>of society's best interest, whether those interests be defined in terms of criminal justice of in terms of allocative efficiency.</t>
  </si>
  <si>
    <t xml:space="preserve">                          Table 8</t>
  </si>
  <si>
    <r>
      <t xml:space="preserve">                    </t>
    </r>
    <r>
      <rPr>
        <b/>
        <u val="single"/>
        <sz val="10"/>
        <rFont val="Helv"/>
        <family val="0"/>
      </rPr>
      <t>Prisoner B</t>
    </r>
  </si>
  <si>
    <t>Not Confess</t>
  </si>
  <si>
    <t>Confess</t>
  </si>
  <si>
    <t>3,3</t>
  </si>
  <si>
    <t>1,10</t>
  </si>
  <si>
    <t>Prisoner A</t>
  </si>
  <si>
    <t>10,1</t>
  </si>
  <si>
    <t>6,6</t>
  </si>
  <si>
    <t xml:space="preserve">     Game theory has been subject to numerous criticisms.  One of them is that the assumption that one's rivals will always adopt the</t>
  </si>
  <si>
    <t>most damaging choices is viewed as highly pessimistic and too conservative.  Another is that while it permits one to quantify complex</t>
  </si>
  <si>
    <t>alternatives in a systematic way, as long as games are not strictly determined, then it is not clear a priori that an equilibrium can be</t>
  </si>
  <si>
    <t>determined.  Thus, while game theory has done much to transform the analysis of market and non-market behavior, it has not yet</t>
  </si>
  <si>
    <t>provided sufficient predictive capacity to solve a number of real-world problems.</t>
  </si>
  <si>
    <t xml:space="preserve">     Given each firm's dominant strategy, firm I would adopt A1 and firm II would adopt B2.  This is determined as the intersection cell</t>
  </si>
  <si>
    <t>of the column vector of Firm I's minimax strategy and the row vector of Firm II's maximin strategy.  When firms arrive at such a unique</t>
  </si>
  <si>
    <t>optimal strategy, i.e., they each choose a strategy that coincides with the same cell in the payoff matrix, the game is said to be</t>
  </si>
  <si>
    <r>
      <t>strictly determined</t>
    </r>
    <r>
      <rPr>
        <sz val="12"/>
        <rFont val="Helv"/>
        <family val="0"/>
      </rPr>
      <t xml:space="preserve">.  Moreover, when the maximin strategy for one firm has a payoff that is equal to the minimax strategy of its rival, </t>
    </r>
  </si>
  <si>
    <r>
      <t xml:space="preserve">the common payoff value is known as the </t>
    </r>
    <r>
      <rPr>
        <b/>
        <sz val="12"/>
        <rFont val="Helv"/>
        <family val="0"/>
      </rPr>
      <t>saddle point</t>
    </r>
    <r>
      <rPr>
        <sz val="12"/>
        <rFont val="Helv"/>
        <family val="0"/>
      </rPr>
      <t>.  For any strictly determined zero-sum or constant-sum game, a saddle point</t>
    </r>
  </si>
  <si>
    <r>
      <t xml:space="preserve">will always exist.  A saddle point is also a </t>
    </r>
    <r>
      <rPr>
        <b/>
        <sz val="12"/>
        <rFont val="Helv"/>
        <family val="0"/>
      </rPr>
      <t>Nash equilibrium</t>
    </r>
    <r>
      <rPr>
        <sz val="12"/>
        <rFont val="Helv"/>
        <family val="0"/>
      </rPr>
      <t>, named after the economist John Nash, who defined the equilibrium</t>
    </r>
  </si>
  <si>
    <t xml:space="preserve">     A Nash equilibrium is a competitive stable equilibrium in that given one player's optimal, or dominant strategy, the other player can</t>
  </si>
  <si>
    <t>do no better, and vice-versa.  It is a way of defining a competitive equilibrium in markets with less than textbook infinite numbers of</t>
  </si>
  <si>
    <r>
      <t xml:space="preserve">producers.  Some economists have used the term </t>
    </r>
    <r>
      <rPr>
        <b/>
        <sz val="12"/>
        <rFont val="Helv"/>
        <family val="0"/>
      </rPr>
      <t>Nash-Cournot equilibrium</t>
    </r>
    <r>
      <rPr>
        <sz val="12"/>
        <rFont val="Helv"/>
        <family val="0"/>
      </rPr>
      <t xml:space="preserve"> to characterize stable markets with a limited number of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</si>
</sst>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&quot;$&quot;#,##0.00;\-\(&quot;$&quot;#,##0.00\)"/>
    <numFmt numFmtId="166" formatCode="&quot;$&quot;#,###;\-\(&quot;$&quot;#,##0.00\)"/>
    <numFmt numFmtId="167" formatCode="0.000000"/>
    <numFmt numFmtId="168" formatCode="&quot;$&quot;#,##0.00;\-&quot;$&quot;#,##0.00"/>
    <numFmt numFmtId="169" formatCode="0.0000"/>
  </numFmts>
  <fonts count="2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Helv"/>
      <family val="0"/>
    </font>
    <font>
      <sz val="9"/>
      <name val="Helv"/>
      <family val="0"/>
    </font>
    <font>
      <b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b/>
      <sz val="10"/>
      <name val="Symbol"/>
      <family val="0"/>
    </font>
    <font>
      <b/>
      <u val="single"/>
      <sz val="10"/>
      <name val="Helv"/>
      <family val="0"/>
    </font>
    <font>
      <b/>
      <sz val="9"/>
      <color indexed="12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b/>
      <i/>
      <sz val="10"/>
      <name val="Helv"/>
      <family val="0"/>
    </font>
    <font>
      <i/>
      <sz val="10"/>
      <name val="Helv"/>
      <family val="0"/>
    </font>
    <font>
      <b/>
      <u val="single"/>
      <sz val="9"/>
      <color indexed="12"/>
      <name val="Helv"/>
      <family val="0"/>
    </font>
    <font>
      <sz val="3"/>
      <name val="Helv"/>
      <family val="0"/>
    </font>
    <font>
      <u val="single"/>
      <sz val="3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dashed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dashed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7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8"/>
      </left>
      <right style="medium">
        <color indexed="8"/>
      </right>
      <top style="medium">
        <color indexed="10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2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6" fillId="0" borderId="6" xfId="0" applyFont="1" applyBorder="1" applyAlignment="1">
      <alignment horizontal="right"/>
    </xf>
    <xf numFmtId="2" fontId="6" fillId="0" borderId="7" xfId="0" applyNumberFormat="1" applyFont="1" applyBorder="1" applyAlignment="1">
      <alignment/>
    </xf>
    <xf numFmtId="2" fontId="6" fillId="0" borderId="8" xfId="0" applyNumberFormat="1" applyFont="1" applyBorder="1" applyAlignment="1">
      <alignment/>
    </xf>
    <xf numFmtId="164" fontId="5" fillId="0" borderId="0" xfId="0" applyNumberFormat="1" applyFont="1" applyAlignment="1">
      <alignment horizontal="right"/>
    </xf>
    <xf numFmtId="164" fontId="6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/>
    </xf>
    <xf numFmtId="165" fontId="6" fillId="0" borderId="8" xfId="0" applyNumberFormat="1" applyFont="1" applyBorder="1" applyAlignment="1">
      <alignment horizontal="left"/>
    </xf>
    <xf numFmtId="165" fontId="6" fillId="0" borderId="8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6" fillId="0" borderId="7" xfId="0" applyFont="1" applyBorder="1" applyAlignment="1">
      <alignment/>
    </xf>
    <xf numFmtId="2" fontId="6" fillId="0" borderId="7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right"/>
    </xf>
    <xf numFmtId="2" fontId="6" fillId="0" borderId="0" xfId="0" applyNumberFormat="1" applyFont="1" applyBorder="1" applyAlignment="1">
      <alignment horizontal="left"/>
    </xf>
    <xf numFmtId="165" fontId="6" fillId="0" borderId="8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6" xfId="0" applyFont="1" applyBorder="1" applyAlignment="1">
      <alignment/>
    </xf>
    <xf numFmtId="2" fontId="6" fillId="0" borderId="5" xfId="0" applyNumberFormat="1" applyFont="1" applyBorder="1" applyAlignment="1">
      <alignment/>
    </xf>
    <xf numFmtId="2" fontId="6" fillId="0" borderId="8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165" fontId="6" fillId="0" borderId="9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7" xfId="0" applyNumberFormat="1" applyFont="1" applyBorder="1" applyAlignment="1">
      <alignment horizontal="left"/>
    </xf>
    <xf numFmtId="165" fontId="6" fillId="0" borderId="6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/>
    </xf>
    <xf numFmtId="0" fontId="5" fillId="0" borderId="0" xfId="0" applyFont="1" applyAlignment="1">
      <alignment horizontal="left"/>
    </xf>
    <xf numFmtId="10" fontId="5" fillId="0" borderId="0" xfId="0" applyNumberFormat="1" applyFont="1" applyAlignment="1">
      <alignment/>
    </xf>
    <xf numFmtId="167" fontId="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/>
    </xf>
    <xf numFmtId="164" fontId="6" fillId="0" borderId="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64" fontId="6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64" fontId="6" fillId="0" borderId="4" xfId="0" applyNumberFormat="1" applyFont="1" applyBorder="1" applyAlignment="1">
      <alignment/>
    </xf>
    <xf numFmtId="165" fontId="6" fillId="0" borderId="5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2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7" fillId="0" borderId="5" xfId="0" applyFont="1" applyBorder="1" applyAlignment="1">
      <alignment/>
    </xf>
    <xf numFmtId="164" fontId="8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7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2" fontId="6" fillId="0" borderId="9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65" fontId="6" fillId="0" borderId="14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left"/>
    </xf>
    <xf numFmtId="164" fontId="7" fillId="0" borderId="3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164" fontId="5" fillId="0" borderId="3" xfId="0" applyNumberFormat="1" applyFont="1" applyBorder="1" applyAlignment="1">
      <alignment/>
    </xf>
    <xf numFmtId="164" fontId="6" fillId="0" borderId="3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6" fillId="0" borderId="15" xfId="0" applyFont="1" applyBorder="1" applyAlignment="1">
      <alignment/>
    </xf>
    <xf numFmtId="165" fontId="6" fillId="0" borderId="26" xfId="0" applyNumberFormat="1" applyFont="1" applyBorder="1" applyAlignment="1">
      <alignment horizontal="left"/>
    </xf>
    <xf numFmtId="0" fontId="6" fillId="0" borderId="16" xfId="0" applyFont="1" applyBorder="1" applyAlignment="1">
      <alignment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8" xfId="0" applyNumberFormat="1" applyFont="1" applyBorder="1" applyAlignment="1">
      <alignment horizontal="left"/>
    </xf>
    <xf numFmtId="168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168" fontId="6" fillId="0" borderId="8" xfId="0" applyNumberFormat="1" applyFont="1" applyBorder="1" applyAlignment="1">
      <alignment horizontal="left"/>
    </xf>
    <xf numFmtId="168" fontId="7" fillId="0" borderId="0" xfId="0" applyNumberFormat="1" applyFont="1" applyBorder="1" applyAlignment="1">
      <alignment horizontal="center"/>
    </xf>
    <xf numFmtId="168" fontId="6" fillId="0" borderId="9" xfId="0" applyNumberFormat="1" applyFont="1" applyBorder="1" applyAlignment="1">
      <alignment horizontal="center"/>
    </xf>
    <xf numFmtId="10" fontId="6" fillId="0" borderId="8" xfId="0" applyNumberFormat="1" applyFont="1" applyBorder="1" applyAlignment="1">
      <alignment horizontal="left"/>
    </xf>
    <xf numFmtId="168" fontId="4" fillId="0" borderId="9" xfId="0" applyNumberFormat="1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0" fontId="5" fillId="0" borderId="26" xfId="0" applyFont="1" applyBorder="1" applyAlignment="1">
      <alignment/>
    </xf>
    <xf numFmtId="165" fontId="5" fillId="0" borderId="30" xfId="0" applyNumberFormat="1" applyFont="1" applyBorder="1" applyAlignment="1">
      <alignment/>
    </xf>
    <xf numFmtId="165" fontId="4" fillId="0" borderId="9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5" fillId="2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2" borderId="34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 horizontal="center"/>
    </xf>
    <xf numFmtId="0" fontId="6" fillId="2" borderId="34" xfId="0" applyFont="1" applyFill="1" applyBorder="1" applyAlignment="1">
      <alignment/>
    </xf>
    <xf numFmtId="0" fontId="4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164" fontId="5" fillId="0" borderId="11" xfId="0" applyNumberFormat="1" applyFont="1" applyBorder="1" applyAlignment="1">
      <alignment/>
    </xf>
    <xf numFmtId="165" fontId="4" fillId="0" borderId="9" xfId="0" applyNumberFormat="1" applyFont="1" applyBorder="1" applyAlignment="1">
      <alignment horizontal="left"/>
    </xf>
    <xf numFmtId="9" fontId="4" fillId="0" borderId="9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2" fontId="8" fillId="0" borderId="8" xfId="0" applyNumberFormat="1" applyFont="1" applyBorder="1" applyAlignment="1">
      <alignment/>
    </xf>
    <xf numFmtId="0" fontId="8" fillId="0" borderId="8" xfId="0" applyFont="1" applyBorder="1" applyAlignment="1">
      <alignment/>
    </xf>
    <xf numFmtId="165" fontId="6" fillId="0" borderId="9" xfId="0" applyNumberFormat="1" applyFont="1" applyBorder="1" applyAlignment="1">
      <alignment horizontal="left"/>
    </xf>
    <xf numFmtId="2" fontId="4" fillId="0" borderId="5" xfId="0" applyNumberFormat="1" applyFont="1" applyBorder="1" applyAlignment="1">
      <alignment horizontal="left"/>
    </xf>
    <xf numFmtId="168" fontId="5" fillId="0" borderId="2" xfId="0" applyNumberFormat="1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right"/>
    </xf>
    <xf numFmtId="2" fontId="6" fillId="2" borderId="42" xfId="0" applyNumberFormat="1" applyFont="1" applyFill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3" fillId="0" borderId="0" xfId="0" applyFont="1" applyAlignment="1">
      <alignment horizontal="right"/>
    </xf>
    <xf numFmtId="2" fontId="6" fillId="0" borderId="44" xfId="0" applyNumberFormat="1" applyFont="1" applyBorder="1" applyAlignment="1">
      <alignment horizontal="center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/>
    </xf>
    <xf numFmtId="0" fontId="15" fillId="0" borderId="46" xfId="0" applyFont="1" applyBorder="1" applyAlignment="1">
      <alignment horizontal="center"/>
    </xf>
    <xf numFmtId="0" fontId="14" fillId="0" borderId="47" xfId="0" applyFont="1" applyBorder="1" applyAlignment="1">
      <alignment/>
    </xf>
    <xf numFmtId="165" fontId="5" fillId="0" borderId="35" xfId="0" applyNumberFormat="1" applyFont="1" applyBorder="1" applyAlignment="1">
      <alignment horizontal="right"/>
    </xf>
    <xf numFmtId="165" fontId="5" fillId="0" borderId="42" xfId="0" applyNumberFormat="1" applyFont="1" applyBorder="1" applyAlignment="1">
      <alignment/>
    </xf>
    <xf numFmtId="165" fontId="5" fillId="0" borderId="36" xfId="0" applyNumberFormat="1" applyFont="1" applyBorder="1" applyAlignment="1">
      <alignment/>
    </xf>
    <xf numFmtId="165" fontId="5" fillId="0" borderId="37" xfId="0" applyNumberFormat="1" applyFont="1" applyBorder="1" applyAlignment="1">
      <alignment horizontal="right"/>
    </xf>
    <xf numFmtId="165" fontId="5" fillId="0" borderId="38" xfId="0" applyNumberFormat="1" applyFont="1" applyBorder="1" applyAlignment="1">
      <alignment/>
    </xf>
    <xf numFmtId="165" fontId="5" fillId="0" borderId="39" xfId="0" applyNumberFormat="1" applyFont="1" applyBorder="1" applyAlignment="1">
      <alignment/>
    </xf>
    <xf numFmtId="165" fontId="5" fillId="0" borderId="40" xfId="0" applyNumberFormat="1" applyFont="1" applyBorder="1" applyAlignment="1">
      <alignment horizontal="right"/>
    </xf>
    <xf numFmtId="165" fontId="5" fillId="0" borderId="22" xfId="0" applyNumberFormat="1" applyFont="1" applyBorder="1" applyAlignment="1">
      <alignment/>
    </xf>
    <xf numFmtId="165" fontId="5" fillId="0" borderId="41" xfId="0" applyNumberFormat="1" applyFont="1" applyBorder="1" applyAlignment="1">
      <alignment/>
    </xf>
    <xf numFmtId="164" fontId="6" fillId="0" borderId="4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164" fontId="6" fillId="0" borderId="45" xfId="0" applyNumberFormat="1" applyFont="1" applyBorder="1" applyAlignment="1">
      <alignment horizontal="right"/>
    </xf>
    <xf numFmtId="2" fontId="4" fillId="0" borderId="46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/>
    </xf>
    <xf numFmtId="164" fontId="14" fillId="0" borderId="45" xfId="0" applyNumberFormat="1" applyFont="1" applyBorder="1" applyAlignment="1">
      <alignment horizontal="right"/>
    </xf>
    <xf numFmtId="0" fontId="15" fillId="0" borderId="46" xfId="0" applyFont="1" applyBorder="1" applyAlignment="1">
      <alignment/>
    </xf>
    <xf numFmtId="0" fontId="15" fillId="0" borderId="46" xfId="0" applyFont="1" applyBorder="1" applyAlignment="1">
      <alignment horizontal="right"/>
    </xf>
    <xf numFmtId="164" fontId="4" fillId="0" borderId="48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2" fontId="5" fillId="0" borderId="49" xfId="0" applyNumberFormat="1" applyFont="1" applyBorder="1" applyAlignment="1">
      <alignment horizontal="right"/>
    </xf>
    <xf numFmtId="2" fontId="5" fillId="0" borderId="50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5" fillId="0" borderId="52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5" fillId="0" borderId="55" xfId="0" applyNumberFormat="1" applyFont="1" applyBorder="1" applyAlignment="1">
      <alignment horizontal="right"/>
    </xf>
    <xf numFmtId="2" fontId="5" fillId="0" borderId="56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0" fontId="14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6" fillId="0" borderId="59" xfId="0" applyFont="1" applyBorder="1" applyAlignment="1">
      <alignment horizontal="center"/>
    </xf>
    <xf numFmtId="2" fontId="14" fillId="0" borderId="59" xfId="0" applyNumberFormat="1" applyFont="1" applyBorder="1" applyAlignment="1">
      <alignment horizontal="left"/>
    </xf>
    <xf numFmtId="0" fontId="14" fillId="0" borderId="60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6" fillId="0" borderId="62" xfId="0" applyFont="1" applyBorder="1" applyAlignment="1">
      <alignment horizontal="center"/>
    </xf>
    <xf numFmtId="2" fontId="14" fillId="0" borderId="62" xfId="0" applyNumberFormat="1" applyFont="1" applyBorder="1" applyAlignment="1">
      <alignment horizontal="left"/>
    </xf>
    <xf numFmtId="0" fontId="14" fillId="0" borderId="63" xfId="0" applyFont="1" applyBorder="1" applyAlignment="1">
      <alignment/>
    </xf>
    <xf numFmtId="0" fontId="5" fillId="0" borderId="35" xfId="0" applyFont="1" applyBorder="1" applyAlignment="1">
      <alignment/>
    </xf>
    <xf numFmtId="2" fontId="5" fillId="0" borderId="42" xfId="0" applyNumberFormat="1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10" fontId="5" fillId="0" borderId="42" xfId="0" applyNumberFormat="1" applyFont="1" applyBorder="1" applyAlignment="1">
      <alignment horizontal="center"/>
    </xf>
    <xf numFmtId="10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/>
    </xf>
    <xf numFmtId="2" fontId="5" fillId="0" borderId="38" xfId="0" applyNumberFormat="1" applyFont="1" applyBorder="1" applyAlignment="1">
      <alignment horizontal="center"/>
    </xf>
    <xf numFmtId="165" fontId="5" fillId="0" borderId="38" xfId="0" applyNumberFormat="1" applyFont="1" applyBorder="1" applyAlignment="1">
      <alignment horizontal="center"/>
    </xf>
    <xf numFmtId="10" fontId="5" fillId="0" borderId="38" xfId="0" applyNumberFormat="1" applyFont="1" applyBorder="1" applyAlignment="1">
      <alignment horizontal="center"/>
    </xf>
    <xf numFmtId="10" fontId="5" fillId="0" borderId="39" xfId="0" applyNumberFormat="1" applyFont="1" applyBorder="1" applyAlignment="1">
      <alignment horizontal="center"/>
    </xf>
    <xf numFmtId="1" fontId="5" fillId="0" borderId="37" xfId="0" applyNumberFormat="1" applyFont="1" applyBorder="1" applyAlignment="1">
      <alignment/>
    </xf>
    <xf numFmtId="1" fontId="5" fillId="0" borderId="40" xfId="0" applyNumberFormat="1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0" fontId="5" fillId="0" borderId="22" xfId="0" applyNumberFormat="1" applyFont="1" applyBorder="1" applyAlignment="1">
      <alignment horizontal="center"/>
    </xf>
    <xf numFmtId="10" fontId="5" fillId="0" borderId="41" xfId="0" applyNumberFormat="1" applyFont="1" applyBorder="1" applyAlignment="1">
      <alignment horizontal="center"/>
    </xf>
    <xf numFmtId="164" fontId="14" fillId="0" borderId="45" xfId="0" applyNumberFormat="1" applyFont="1" applyBorder="1" applyAlignment="1">
      <alignment/>
    </xf>
    <xf numFmtId="0" fontId="16" fillId="0" borderId="46" xfId="0" applyFont="1" applyBorder="1" applyAlignment="1">
      <alignment/>
    </xf>
    <xf numFmtId="0" fontId="16" fillId="0" borderId="46" xfId="0" applyFont="1" applyBorder="1" applyAlignment="1">
      <alignment horizontal="center"/>
    </xf>
    <xf numFmtId="0" fontId="16" fillId="0" borderId="46" xfId="0" applyFont="1" applyBorder="1" applyAlignment="1">
      <alignment horizontal="left"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45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165" fontId="20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0" fontId="20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" fontId="20" fillId="0" borderId="35" xfId="0" applyNumberFormat="1" applyFont="1" applyBorder="1" applyAlignment="1">
      <alignment horizontal="center"/>
    </xf>
    <xf numFmtId="2" fontId="20" fillId="2" borderId="42" xfId="0" applyNumberFormat="1" applyFont="1" applyFill="1" applyBorder="1" applyAlignment="1">
      <alignment horizontal="center"/>
    </xf>
    <xf numFmtId="2" fontId="20" fillId="0" borderId="36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20" fillId="0" borderId="37" xfId="0" applyNumberFormat="1" applyFont="1" applyBorder="1" applyAlignment="1">
      <alignment horizontal="center"/>
    </xf>
    <xf numFmtId="2" fontId="20" fillId="0" borderId="38" xfId="0" applyNumberFormat="1" applyFont="1" applyBorder="1" applyAlignment="1">
      <alignment horizontal="center"/>
    </xf>
    <xf numFmtId="2" fontId="20" fillId="0" borderId="39" xfId="0" applyNumberFormat="1" applyFont="1" applyBorder="1" applyAlignment="1">
      <alignment horizontal="center"/>
    </xf>
    <xf numFmtId="2" fontId="20" fillId="0" borderId="40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2" fontId="20" fillId="0" borderId="41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right"/>
    </xf>
    <xf numFmtId="2" fontId="20" fillId="0" borderId="43" xfId="0" applyNumberFormat="1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2" fontId="20" fillId="0" borderId="44" xfId="0" applyNumberFormat="1" applyFont="1" applyBorder="1" applyAlignment="1">
      <alignment horizontal="center"/>
    </xf>
    <xf numFmtId="0" fontId="20" fillId="0" borderId="64" xfId="0" applyFont="1" applyBorder="1" applyAlignment="1">
      <alignment/>
    </xf>
    <xf numFmtId="0" fontId="20" fillId="0" borderId="65" xfId="0" applyFont="1" applyBorder="1" applyAlignment="1">
      <alignment horizontal="right"/>
    </xf>
    <xf numFmtId="0" fontId="20" fillId="0" borderId="65" xfId="0" applyFont="1" applyBorder="1" applyAlignment="1">
      <alignment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169" fontId="20" fillId="0" borderId="68" xfId="0" applyNumberFormat="1" applyFont="1" applyBorder="1" applyAlignment="1">
      <alignment horizontal="center"/>
    </xf>
    <xf numFmtId="2" fontId="20" fillId="0" borderId="69" xfId="0" applyNumberFormat="1" applyFont="1" applyBorder="1" applyAlignment="1">
      <alignment horizontal="center"/>
    </xf>
    <xf numFmtId="2" fontId="20" fillId="0" borderId="7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0" fontId="20" fillId="0" borderId="71" xfId="0" applyFont="1" applyBorder="1" applyAlignment="1">
      <alignment/>
    </xf>
    <xf numFmtId="2" fontId="20" fillId="0" borderId="72" xfId="0" applyNumberFormat="1" applyFont="1" applyBorder="1" applyAlignment="1">
      <alignment horizontal="center"/>
    </xf>
    <xf numFmtId="2" fontId="20" fillId="0" borderId="66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20" fillId="0" borderId="73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0" fontId="20" fillId="0" borderId="74" xfId="0" applyFont="1" applyBorder="1" applyAlignment="1">
      <alignment/>
    </xf>
    <xf numFmtId="0" fontId="20" fillId="0" borderId="75" xfId="0" applyFont="1" applyBorder="1" applyAlignment="1">
      <alignment/>
    </xf>
    <xf numFmtId="2" fontId="20" fillId="0" borderId="75" xfId="0" applyNumberFormat="1" applyFont="1" applyBorder="1" applyAlignment="1">
      <alignment horizontal="center"/>
    </xf>
    <xf numFmtId="0" fontId="20" fillId="0" borderId="76" xfId="0" applyFont="1" applyBorder="1" applyAlignment="1">
      <alignment horizontal="center"/>
    </xf>
    <xf numFmtId="2" fontId="20" fillId="0" borderId="76" xfId="0" applyNumberFormat="1" applyFont="1" applyBorder="1" applyAlignment="1">
      <alignment horizontal="center"/>
    </xf>
    <xf numFmtId="0" fontId="20" fillId="0" borderId="77" xfId="0" applyFont="1" applyBorder="1" applyAlignment="1">
      <alignment/>
    </xf>
    <xf numFmtId="164" fontId="20" fillId="0" borderId="0" xfId="0" applyNumberFormat="1" applyFont="1" applyAlignment="1">
      <alignment/>
    </xf>
    <xf numFmtId="164" fontId="21" fillId="0" borderId="0" xfId="0" applyNumberFormat="1" applyFont="1" applyAlignment="1">
      <alignment horizontal="right"/>
    </xf>
    <xf numFmtId="0" fontId="14" fillId="0" borderId="78" xfId="0" applyFont="1" applyBorder="1" applyAlignment="1">
      <alignment/>
    </xf>
    <xf numFmtId="0" fontId="14" fillId="0" borderId="79" xfId="0" applyFont="1" applyBorder="1" applyAlignment="1">
      <alignment/>
    </xf>
    <xf numFmtId="0" fontId="15" fillId="0" borderId="79" xfId="0" applyFont="1" applyBorder="1" applyAlignment="1">
      <alignment horizontal="center"/>
    </xf>
    <xf numFmtId="0" fontId="14" fillId="0" borderId="8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</a:rPr>
              <a:t>Average and Marginal Variables</a:t>
            </a:r>
          </a:p>
        </c:rich>
      </c:tx>
      <c:layout>
        <c:manualLayout>
          <c:xMode val="factor"/>
          <c:yMode val="factor"/>
          <c:x val="-0.017"/>
          <c:y val="-0.00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075"/>
          <c:y val="0.133"/>
          <c:w val="0.962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Sheet1!$Q$73</c:f>
              <c:strCache>
                <c:ptCount val="1"/>
                <c:pt idx="0">
                  <c:v>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Sheet1!$P$74:$P$89</c:f>
              <c:numCache/>
            </c:numRef>
          </c:cat>
          <c:val>
            <c:numRef>
              <c:f>Sheet1!$Q$74:$Q$89</c:f>
              <c:numCache/>
            </c:numRef>
          </c:val>
          <c:smooth val="0"/>
        </c:ser>
        <c:ser>
          <c:idx val="1"/>
          <c:order val="1"/>
          <c:tx>
            <c:strRef>
              <c:f>Sheet1!$R$73</c:f>
              <c:strCache>
                <c:ptCount val="1"/>
                <c:pt idx="0">
                  <c:v>MR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Sheet1!$P$74:$P$89</c:f>
              <c:numCache/>
            </c:numRef>
          </c:cat>
          <c:val>
            <c:numRef>
              <c:f>Sheet1!$R$74:$R$89</c:f>
              <c:numCache/>
            </c:numRef>
          </c:val>
          <c:smooth val="0"/>
        </c:ser>
        <c:ser>
          <c:idx val="2"/>
          <c:order val="2"/>
          <c:tx>
            <c:strRef>
              <c:f>Sheet1!$S$73</c:f>
              <c:strCache>
                <c:ptCount val="1"/>
                <c:pt idx="0">
                  <c:v>AC = MC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Sheet1!$P$74:$P$89</c:f>
              <c:numCache/>
            </c:numRef>
          </c:cat>
          <c:val>
            <c:numRef>
              <c:f>Sheet1!$S$74:$S$89</c:f>
              <c:numCache/>
            </c:numRef>
          </c:val>
          <c:smooth val="0"/>
        </c:ser>
        <c:ser>
          <c:idx val="3"/>
          <c:order val="3"/>
          <c:tx>
            <c:strRef>
              <c:f>Sheet1!$T$73</c:f>
              <c:strCache>
                <c:ptCount val="1"/>
                <c:pt idx="0">
                  <c:v>AR`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Sheet1!$P$74:$P$89</c:f>
              <c:numCache/>
            </c:numRef>
          </c:cat>
          <c:val>
            <c:numRef>
              <c:f>Sheet1!$T$74:$T$89</c:f>
              <c:numCache/>
            </c:numRef>
          </c:val>
          <c:smooth val="0"/>
        </c:ser>
        <c:ser>
          <c:idx val="4"/>
          <c:order val="4"/>
          <c:tx>
            <c:strRef>
              <c:f>Sheet1!$U$73</c:f>
              <c:strCache>
                <c:ptCount val="1"/>
                <c:pt idx="0">
                  <c:v>MR`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Sheet1!$P$74:$P$89</c:f>
              <c:numCache/>
            </c:numRef>
          </c:cat>
          <c:val>
            <c:numRef>
              <c:f>Sheet1!$U$74:$U$89</c:f>
              <c:numCache/>
            </c:numRef>
          </c:val>
          <c:smooth val="0"/>
        </c:ser>
        <c:ser>
          <c:idx val="5"/>
          <c:order val="5"/>
          <c:tx>
            <c:strRef>
              <c:f>Sheet1!$V$73</c:f>
              <c:strCache>
                <c:ptCount val="1"/>
                <c:pt idx="0">
                  <c:v>AC` = MC`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Sheet1!$P$74:$P$89</c:f>
              <c:numCache/>
            </c:numRef>
          </c:cat>
          <c:val>
            <c:numRef>
              <c:f>Sheet1!$V$74:$V$89</c:f>
              <c:numCache/>
            </c:numRef>
          </c:val>
          <c:smooth val="0"/>
        </c:ser>
        <c:marker val="1"/>
        <c:axId val="66011534"/>
        <c:axId val="57232895"/>
      </c:lineChart>
      <c:catAx>
        <c:axId val="660115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57232895"/>
        <c:crosses val="autoZero"/>
        <c:auto val="0"/>
        <c:lblOffset val="100"/>
        <c:noMultiLvlLbl val="0"/>
      </c:catAx>
      <c:valAx>
        <c:axId val="57232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&quot;$&quot;#,##0.00;\-\(&quot;$&quot;#,##0.0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66011534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95"/>
          <c:y val="0.8965"/>
          <c:w val="0.784"/>
          <c:h val="0.064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</a:rPr>
              <a:t>Total Revenue and Total Cost</a:t>
            </a:r>
          </a:p>
        </c:rich>
      </c:tx>
      <c:layout>
        <c:manualLayout>
          <c:xMode val="factor"/>
          <c:yMode val="factor"/>
          <c:x val="-0.01725"/>
          <c:y val="0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6"/>
          <c:y val="0.1385"/>
          <c:w val="0.9227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Sheet1!$Q$47</c:f>
              <c:strCache>
                <c:ptCount val="1"/>
                <c:pt idx="0">
                  <c:v>TR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Sheet1!$P$48:$P$63</c:f>
              <c:numCache/>
            </c:numRef>
          </c:cat>
          <c:val>
            <c:numRef>
              <c:f>Sheet1!$Q$48:$Q$63</c:f>
              <c:numCache/>
            </c:numRef>
          </c:val>
          <c:smooth val="0"/>
        </c:ser>
        <c:ser>
          <c:idx val="1"/>
          <c:order val="1"/>
          <c:tx>
            <c:strRef>
              <c:f>Sheet1!$R$47</c:f>
              <c:strCache>
                <c:ptCount val="1"/>
                <c:pt idx="0">
                  <c:v>TC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1FB714"/>
                </a:solidFill>
              </a:ln>
            </c:spPr>
          </c:marker>
          <c:cat>
            <c:numRef>
              <c:f>Sheet1!$P$48:$P$63</c:f>
              <c:numCache/>
            </c:numRef>
          </c:cat>
          <c:val>
            <c:numRef>
              <c:f>Sheet1!$R$48:$R$63</c:f>
              <c:numCache/>
            </c:numRef>
          </c:val>
          <c:smooth val="0"/>
        </c:ser>
        <c:ser>
          <c:idx val="2"/>
          <c:order val="2"/>
          <c:tx>
            <c:strRef>
              <c:f>Sheet1!$S$47</c:f>
              <c:strCache>
                <c:ptCount val="1"/>
                <c:pt idx="0">
                  <c:v>TR`</c:v>
                </c:pt>
              </c:strCache>
            </c:strRef>
          </c:tx>
          <c:spPr>
            <a:ln w="381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FF00"/>
              </a:solidFill>
              <a:ln>
                <a:solidFill>
                  <a:srgbClr val="000090"/>
                </a:solidFill>
              </a:ln>
            </c:spPr>
          </c:marker>
          <c:cat>
            <c:numRef>
              <c:f>Sheet1!$P$48:$P$63</c:f>
              <c:numCache/>
            </c:numRef>
          </c:cat>
          <c:val>
            <c:numRef>
              <c:f>Sheet1!$S$48:$S$63</c:f>
              <c:numCache/>
            </c:numRef>
          </c:val>
          <c:smooth val="1"/>
        </c:ser>
        <c:ser>
          <c:idx val="3"/>
          <c:order val="3"/>
          <c:tx>
            <c:strRef>
              <c:f>Sheet1!$T$47</c:f>
              <c:strCache>
                <c:ptCount val="1"/>
                <c:pt idx="0">
                  <c:v>TC`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DD0806"/>
                </a:solidFill>
              </a:ln>
            </c:spPr>
          </c:marker>
          <c:cat>
            <c:numRef>
              <c:f>Sheet1!$P$48:$P$63</c:f>
              <c:numCache/>
            </c:numRef>
          </c:cat>
          <c:val>
            <c:numRef>
              <c:f>Sheet1!$T$48:$T$63</c:f>
              <c:numCache/>
            </c:numRef>
          </c:val>
          <c:smooth val="0"/>
        </c:ser>
        <c:marker val="1"/>
        <c:axId val="45334008"/>
        <c:axId val="5352889"/>
      </c:lineChart>
      <c:catAx>
        <c:axId val="453340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52889"/>
        <c:crosses val="autoZero"/>
        <c:auto val="0"/>
        <c:lblOffset val="100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25"/>
          <c:y val="0.90775"/>
          <c:w val="0.77225"/>
          <c:h val="0.051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475"/>
          <c:y val="0.11375"/>
          <c:w val="0.990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Sheet1!$D$282</c:f>
              <c:strCache>
                <c:ptCount val="1"/>
                <c:pt idx="0">
                  <c:v>Reaction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Sheet1!$C$283:$C$298</c:f>
              <c:numCache/>
            </c:numRef>
          </c:cat>
          <c:val>
            <c:numRef>
              <c:f>Sheet1!$D$283:$D$298</c:f>
              <c:numCache/>
            </c:numRef>
          </c:val>
          <c:smooth val="0"/>
        </c:ser>
        <c:ser>
          <c:idx val="1"/>
          <c:order val="1"/>
          <c:tx>
            <c:strRef>
              <c:f>Sheet1!$E$282</c:f>
              <c:strCache>
                <c:ptCount val="1"/>
                <c:pt idx="0">
                  <c:v>Reaction 1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FF00FF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Sheet1!$C$283:$C$298</c:f>
              <c:numCache/>
            </c:numRef>
          </c:cat>
          <c:val>
            <c:numRef>
              <c:f>Sheet1!$E$283:$E$298</c:f>
              <c:numCache/>
            </c:numRef>
          </c:val>
          <c:smooth val="0"/>
        </c:ser>
        <c:marker val="1"/>
        <c:axId val="48176002"/>
        <c:axId val="30930835"/>
      </c:lineChart>
      <c:catAx>
        <c:axId val="48176002"/>
        <c:scaling>
          <c:orientation val="minMax"/>
        </c:scaling>
        <c:axPos val="b"/>
        <c:majorGridlines/>
        <c:delete val="0"/>
        <c:numFmt formatCode="0" sourceLinked="0"/>
        <c:majorTickMark val="in"/>
        <c:minorTickMark val="none"/>
        <c:tickLblPos val="nextTo"/>
        <c:crossAx val="30930835"/>
        <c:crosses val="autoZero"/>
        <c:auto val="0"/>
        <c:lblOffset val="100"/>
        <c:noMultiLvlLbl val="0"/>
      </c:cat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17600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9075"/>
          <c:y val="0.9235"/>
          <c:w val="0.406"/>
          <c:h val="0.06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</a:rPr>
              <a:t>Price and Profits as a Function of Producer Density</a:t>
            </a:r>
          </a:p>
        </c:rich>
      </c:tx>
      <c:layout>
        <c:manualLayout>
          <c:xMode val="factor"/>
          <c:yMode val="factor"/>
          <c:x val="0.012"/>
          <c:y val="0.030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4"/>
          <c:y val="0.2475"/>
          <c:w val="0.952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Sheet1!$R$331</c:f>
              <c:strCache>
                <c:ptCount val="1"/>
                <c:pt idx="0">
                  <c:v>Price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Sheet1!$Q$332:$Q$356</c:f>
              <c:numCache/>
            </c:numRef>
          </c:cat>
          <c:val>
            <c:numRef>
              <c:f>Sheet1!$R$332:$R$356</c:f>
              <c:numCache/>
            </c:numRef>
          </c:val>
          <c:smooth val="1"/>
        </c:ser>
        <c:ser>
          <c:idx val="1"/>
          <c:order val="1"/>
          <c:tx>
            <c:strRef>
              <c:f>Sheet1!$S$331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Sheet1!$Q$332:$Q$356</c:f>
              <c:numCache/>
            </c:numRef>
          </c:cat>
          <c:val>
            <c:numRef>
              <c:f>Sheet1!$S$332:$S$356</c:f>
              <c:numCache/>
            </c:numRef>
          </c:val>
          <c:smooth val="1"/>
        </c:ser>
        <c:marker val="1"/>
        <c:axId val="9942060"/>
        <c:axId val="22369677"/>
      </c:lineChart>
      <c:catAx>
        <c:axId val="994206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2369677"/>
        <c:crosses val="autoZero"/>
        <c:auto val="0"/>
        <c:lblOffset val="100"/>
        <c:noMultiLvlLbl val="0"/>
      </c:catAx>
      <c:valAx>
        <c:axId val="2236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25"/>
          <c:y val="0.92775"/>
          <c:w val="0.5375"/>
          <c:h val="0.04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D4"/>
                </a:solidFill>
              </a:rPr>
              <a:t>Deadweight Social Welfare Loss and Relative Economic Efficiency</a:t>
            </a:r>
          </a:p>
        </c:rich>
      </c:tx>
      <c:layout>
        <c:manualLayout>
          <c:xMode val="factor"/>
          <c:yMode val="factor"/>
          <c:x val="0.029"/>
          <c:y val="0.0152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"/>
          <c:y val="0.209"/>
          <c:w val="0.93675"/>
          <c:h val="0.67825"/>
        </c:manualLayout>
      </c:layout>
      <c:lineChart>
        <c:grouping val="standard"/>
        <c:varyColors val="0"/>
        <c:ser>
          <c:idx val="0"/>
          <c:order val="0"/>
          <c:tx>
            <c:strRef>
              <c:f>Sheet1!$V$331</c:f>
              <c:strCache>
                <c:ptCount val="1"/>
                <c:pt idx="0">
                  <c:v>%DSWL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80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Sheet1!$U$332:$U$356</c:f>
              <c:numCache/>
            </c:numRef>
          </c:cat>
          <c:val>
            <c:numRef>
              <c:f>Sheet1!$V$332:$V$356</c:f>
              <c:numCache/>
            </c:numRef>
          </c:val>
          <c:smooth val="1"/>
        </c:ser>
        <c:ser>
          <c:idx val="1"/>
          <c:order val="1"/>
          <c:tx>
            <c:strRef>
              <c:f>Sheet1!$W$331</c:f>
              <c:strCache>
                <c:ptCount val="1"/>
                <c:pt idx="0">
                  <c:v>Relative Efficiency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Sheet1!$U$332:$U$356</c:f>
              <c:numCache/>
            </c:numRef>
          </c:cat>
          <c:val>
            <c:numRef>
              <c:f>Sheet1!$W$332:$W$356</c:f>
              <c:numCache/>
            </c:numRef>
          </c:val>
          <c:smooth val="0"/>
        </c:ser>
        <c:marker val="1"/>
        <c:axId val="502"/>
        <c:axId val="4519"/>
      </c:lineChart>
      <c:catAx>
        <c:axId val="50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519"/>
        <c:crosses val="autoZero"/>
        <c:auto val="0"/>
        <c:lblOffset val="100"/>
        <c:noMultiLvlLbl val="0"/>
      </c:catAx>
      <c:valAx>
        <c:axId val="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45"/>
          <c:y val="0.92025"/>
          <c:w val="0.6465"/>
          <c:h val="0.045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0.24075</cdr:x>
      <cdr:y>0.523</cdr:y>
    </cdr:from>
    <cdr:to>
      <cdr:x>0.2635</cdr:x>
      <cdr:y>0.60825</cdr:y>
    </cdr:to>
    <cdr:sp>
      <cdr:nvSpPr>
        <cdr:cNvPr id="1" name="Text 1"/>
        <cdr:cNvSpPr txBox="1">
          <a:spLocks noChangeArrowheads="1"/>
        </cdr:cNvSpPr>
      </cdr:nvSpPr>
      <cdr:spPr>
        <a:xfrm>
          <a:off x="1714500" y="15144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A</a:t>
          </a:r>
        </a:p>
      </cdr:txBody>
    </cdr:sp>
  </cdr:relSizeAnchor>
  <cdr:relSizeAnchor xmlns:cdr="http://schemas.openxmlformats.org/drawingml/2006/chartDrawing">
    <cdr:from>
      <cdr:x>0.24075</cdr:x>
      <cdr:y>0.361</cdr:y>
    </cdr:from>
    <cdr:to>
      <cdr:x>0.266</cdr:x>
      <cdr:y>0.44625</cdr:y>
    </cdr:to>
    <cdr:sp>
      <cdr:nvSpPr>
        <cdr:cNvPr id="2" name="Text 2"/>
        <cdr:cNvSpPr txBox="1">
          <a:spLocks noChangeArrowheads="1"/>
        </cdr:cNvSpPr>
      </cdr:nvSpPr>
      <cdr:spPr>
        <a:xfrm>
          <a:off x="1714500" y="1047750"/>
          <a:ext cx="180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B</a:t>
          </a:r>
        </a:p>
      </cdr:txBody>
    </cdr:sp>
  </cdr:relSizeAnchor>
  <cdr:relSizeAnchor xmlns:cdr="http://schemas.openxmlformats.org/drawingml/2006/chartDrawing">
    <cdr:from>
      <cdr:x>0.4215</cdr:x>
      <cdr:y>0.523</cdr:y>
    </cdr:from>
    <cdr:to>
      <cdr:x>0.44425</cdr:x>
      <cdr:y>0.60825</cdr:y>
    </cdr:to>
    <cdr:sp>
      <cdr:nvSpPr>
        <cdr:cNvPr id="3" name="Text 3"/>
        <cdr:cNvSpPr txBox="1">
          <a:spLocks noChangeArrowheads="1"/>
        </cdr:cNvSpPr>
      </cdr:nvSpPr>
      <cdr:spPr>
        <a:xfrm>
          <a:off x="3000375" y="15144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C</a:t>
          </a:r>
        </a:p>
      </cdr:txBody>
    </cdr:sp>
  </cdr:relSizeAnchor>
  <cdr:relSizeAnchor xmlns:cdr="http://schemas.openxmlformats.org/drawingml/2006/chartDrawing">
    <cdr:from>
      <cdr:x>0.06175</cdr:x>
      <cdr:y>0.17875</cdr:y>
    </cdr:from>
    <cdr:to>
      <cdr:x>0.087</cdr:x>
      <cdr:y>0.264</cdr:y>
    </cdr:to>
    <cdr:sp>
      <cdr:nvSpPr>
        <cdr:cNvPr id="4" name="Text 4"/>
        <cdr:cNvSpPr txBox="1">
          <a:spLocks noChangeArrowheads="1"/>
        </cdr:cNvSpPr>
      </cdr:nvSpPr>
      <cdr:spPr>
        <a:xfrm>
          <a:off x="438150" y="514350"/>
          <a:ext cx="180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D</a:t>
          </a:r>
        </a:p>
      </cdr:txBody>
    </cdr:sp>
  </cdr:relSizeAnchor>
  <cdr:relSizeAnchor xmlns:cdr="http://schemas.openxmlformats.org/drawingml/2006/chartDrawing">
    <cdr:from>
      <cdr:x>0.06325</cdr:x>
      <cdr:y>0.523</cdr:y>
    </cdr:from>
    <cdr:to>
      <cdr:x>0.086</cdr:x>
      <cdr:y>0.60825</cdr:y>
    </cdr:to>
    <cdr:sp>
      <cdr:nvSpPr>
        <cdr:cNvPr id="5" name="Text 5"/>
        <cdr:cNvSpPr txBox="1">
          <a:spLocks noChangeArrowheads="1"/>
        </cdr:cNvSpPr>
      </cdr:nvSpPr>
      <cdr:spPr>
        <a:xfrm>
          <a:off x="447675" y="1514475"/>
          <a:ext cx="161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0.01075</cdr:y>
    </cdr:from>
    <cdr:to>
      <cdr:x>0.59325</cdr:x>
      <cdr:y>0.09775</cdr:y>
    </cdr:to>
    <cdr:sp>
      <cdr:nvSpPr>
        <cdr:cNvPr id="1" name="Text 1"/>
        <cdr:cNvSpPr txBox="1">
          <a:spLocks noChangeArrowheads="1"/>
        </cdr:cNvSpPr>
      </cdr:nvSpPr>
      <cdr:spPr>
        <a:xfrm>
          <a:off x="1514475" y="19050"/>
          <a:ext cx="1104900" cy="228600"/>
        </a:xfrm>
        <a:prstGeom prst="rect">
          <a:avLst/>
        </a:prstGeom>
        <a:noFill/>
        <a:ln w="22225" cmpd="sng">
          <a:solidFill>
            <a:srgbClr val="DD0806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D4"/>
              </a:solidFill>
            </a:rPr>
            <a:t>Cournot Duopoly</a:t>
          </a:r>
        </a:p>
      </cdr:txBody>
    </cdr:sp>
  </cdr:relSizeAnchor>
  <cdr:relSizeAnchor xmlns:cdr="http://schemas.openxmlformats.org/drawingml/2006/chartDrawing">
    <cdr:from>
      <cdr:x>0.90775</cdr:x>
      <cdr:y>0.89125</cdr:y>
    </cdr:from>
    <cdr:to>
      <cdr:x>0.96375</cdr:x>
      <cdr:y>0.9745</cdr:y>
    </cdr:to>
    <cdr:sp>
      <cdr:nvSpPr>
        <cdr:cNvPr id="2" name="Text 2"/>
        <cdr:cNvSpPr txBox="1">
          <a:spLocks noChangeArrowheads="1"/>
        </cdr:cNvSpPr>
      </cdr:nvSpPr>
      <cdr:spPr>
        <a:xfrm>
          <a:off x="4010025" y="2333625"/>
          <a:ext cx="247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Q2</a:t>
          </a:r>
        </a:p>
      </cdr:txBody>
    </cdr:sp>
  </cdr:relSizeAnchor>
  <cdr:relSizeAnchor xmlns:cdr="http://schemas.openxmlformats.org/drawingml/2006/chartDrawing">
    <cdr:from>
      <cdr:x>0.051</cdr:x>
      <cdr:y>0.0645</cdr:y>
    </cdr:from>
    <cdr:to>
      <cdr:x>0.107</cdr:x>
      <cdr:y>0.14775</cdr:y>
    </cdr:to>
    <cdr:sp>
      <cdr:nvSpPr>
        <cdr:cNvPr id="3" name="Text 3"/>
        <cdr:cNvSpPr txBox="1">
          <a:spLocks noChangeArrowheads="1"/>
        </cdr:cNvSpPr>
      </cdr:nvSpPr>
      <cdr:spPr>
        <a:xfrm>
          <a:off x="219075" y="161925"/>
          <a:ext cx="247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Q1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0.2485</cdr:x>
      <cdr:y>0.1875</cdr:y>
    </cdr:from>
    <cdr:to>
      <cdr:x>0.7975</cdr:x>
      <cdr:y>0.2435</cdr:y>
    </cdr:to>
    <cdr:sp>
      <cdr:nvSpPr>
        <cdr:cNvPr id="1" name="Text 1"/>
        <cdr:cNvSpPr txBox="1">
          <a:spLocks noChangeArrowheads="1"/>
        </cdr:cNvSpPr>
      </cdr:nvSpPr>
      <cdr:spPr>
        <a:xfrm>
          <a:off x="914400" y="695325"/>
          <a:ext cx="2028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Within a Cournot Market Framework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0.25125</cdr:x>
      <cdr:y>0.1665</cdr:y>
    </cdr:from>
    <cdr:to>
      <cdr:x>0.781</cdr:x>
      <cdr:y>0.2225</cdr:y>
    </cdr:to>
    <cdr:sp>
      <cdr:nvSpPr>
        <cdr:cNvPr id="1" name="Text 1"/>
        <cdr:cNvSpPr txBox="1">
          <a:spLocks noChangeArrowheads="1"/>
        </cdr:cNvSpPr>
      </cdr:nvSpPr>
      <cdr:spPr>
        <a:xfrm>
          <a:off x="962025" y="619125"/>
          <a:ext cx="2028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/>
            <a:t>Within a Cournot Market Framework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92</xdr:row>
      <xdr:rowOff>28575</xdr:rowOff>
    </xdr:from>
    <xdr:to>
      <xdr:col>10</xdr:col>
      <xdr:colOff>76200</xdr:colOff>
      <xdr:row>111</xdr:row>
      <xdr:rowOff>38100</xdr:rowOff>
    </xdr:to>
    <xdr:graphicFrame>
      <xdr:nvGraphicFramePr>
        <xdr:cNvPr id="1" name="Chart 3"/>
        <xdr:cNvGraphicFramePr/>
      </xdr:nvGraphicFramePr>
      <xdr:xfrm>
        <a:off x="628650" y="13935075"/>
        <a:ext cx="713422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923925</xdr:colOff>
      <xdr:row>219</xdr:row>
      <xdr:rowOff>0</xdr:rowOff>
    </xdr:from>
    <xdr:to>
      <xdr:col>6</xdr:col>
      <xdr:colOff>247650</xdr:colOff>
      <xdr:row>219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3114675" y="34356675"/>
          <a:ext cx="1323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133350</xdr:colOff>
      <xdr:row>45</xdr:row>
      <xdr:rowOff>38100</xdr:rowOff>
    </xdr:from>
    <xdr:to>
      <xdr:col>10</xdr:col>
      <xdr:colOff>485775</xdr:colOff>
      <xdr:row>63</xdr:row>
      <xdr:rowOff>38100</xdr:rowOff>
    </xdr:to>
    <xdr:graphicFrame>
      <xdr:nvGraphicFramePr>
        <xdr:cNvPr id="3" name="Chart 5"/>
        <xdr:cNvGraphicFramePr/>
      </xdr:nvGraphicFramePr>
      <xdr:xfrm>
        <a:off x="4324350" y="7429500"/>
        <a:ext cx="38481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281</xdr:row>
      <xdr:rowOff>28575</xdr:rowOff>
    </xdr:from>
    <xdr:to>
      <xdr:col>10</xdr:col>
      <xdr:colOff>0</xdr:colOff>
      <xdr:row>298</xdr:row>
      <xdr:rowOff>66675</xdr:rowOff>
    </xdr:to>
    <xdr:graphicFrame>
      <xdr:nvGraphicFramePr>
        <xdr:cNvPr id="4" name="Chart 6"/>
        <xdr:cNvGraphicFramePr/>
      </xdr:nvGraphicFramePr>
      <xdr:xfrm>
        <a:off x="3267075" y="44272200"/>
        <a:ext cx="44196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123825</xdr:colOff>
      <xdr:row>354</xdr:row>
      <xdr:rowOff>38100</xdr:rowOff>
    </xdr:from>
    <xdr:to>
      <xdr:col>6</xdr:col>
      <xdr:colOff>85725</xdr:colOff>
      <xdr:row>378</xdr:row>
      <xdr:rowOff>123825</xdr:rowOff>
    </xdr:to>
    <xdr:graphicFrame>
      <xdr:nvGraphicFramePr>
        <xdr:cNvPr id="5" name="Chart 7"/>
        <xdr:cNvGraphicFramePr/>
      </xdr:nvGraphicFramePr>
      <xdr:xfrm>
        <a:off x="581025" y="55130700"/>
        <a:ext cx="369570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228600</xdr:colOff>
      <xdr:row>354</xdr:row>
      <xdr:rowOff>28575</xdr:rowOff>
    </xdr:from>
    <xdr:to>
      <xdr:col>10</xdr:col>
      <xdr:colOff>561975</xdr:colOff>
      <xdr:row>378</xdr:row>
      <xdr:rowOff>114300</xdr:rowOff>
    </xdr:to>
    <xdr:graphicFrame>
      <xdr:nvGraphicFramePr>
        <xdr:cNvPr id="6" name="Chart 8"/>
        <xdr:cNvGraphicFramePr/>
      </xdr:nvGraphicFramePr>
      <xdr:xfrm>
        <a:off x="4419600" y="55121175"/>
        <a:ext cx="3829050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314325</xdr:colOff>
      <xdr:row>444</xdr:row>
      <xdr:rowOff>0</xdr:rowOff>
    </xdr:from>
    <xdr:to>
      <xdr:col>5</xdr:col>
      <xdr:colOff>1047750</xdr:colOff>
      <xdr:row>465</xdr:row>
      <xdr:rowOff>161925</xdr:rowOff>
    </xdr:to>
    <xdr:sp>
      <xdr:nvSpPr>
        <xdr:cNvPr id="7" name="Line 9"/>
        <xdr:cNvSpPr>
          <a:spLocks/>
        </xdr:cNvSpPr>
      </xdr:nvSpPr>
      <xdr:spPr>
        <a:xfrm flipH="1">
          <a:off x="1304925" y="69303900"/>
          <a:ext cx="2876550" cy="3762375"/>
        </a:xfrm>
        <a:prstGeom prst="line">
          <a:avLst/>
        </a:prstGeom>
        <a:solidFill>
          <a:srgbClr val="FFFFFF"/>
        </a:solidFill>
        <a:ln w="2222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0</xdr:colOff>
      <xdr:row>444</xdr:row>
      <xdr:rowOff>0</xdr:rowOff>
    </xdr:from>
    <xdr:to>
      <xdr:col>9</xdr:col>
      <xdr:colOff>95250</xdr:colOff>
      <xdr:row>466</xdr:row>
      <xdr:rowOff>0</xdr:rowOff>
    </xdr:to>
    <xdr:sp>
      <xdr:nvSpPr>
        <xdr:cNvPr id="8" name="Line 10"/>
        <xdr:cNvSpPr>
          <a:spLocks/>
        </xdr:cNvSpPr>
      </xdr:nvSpPr>
      <xdr:spPr>
        <a:xfrm>
          <a:off x="4191000" y="69303900"/>
          <a:ext cx="2743200" cy="3790950"/>
        </a:xfrm>
        <a:prstGeom prst="line">
          <a:avLst/>
        </a:prstGeom>
        <a:solidFill>
          <a:srgbClr val="FFFFFF"/>
        </a:solidFill>
        <a:ln w="2349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466725</xdr:colOff>
      <xdr:row>444</xdr:row>
      <xdr:rowOff>0</xdr:rowOff>
    </xdr:from>
    <xdr:to>
      <xdr:col>5</xdr:col>
      <xdr:colOff>1047750</xdr:colOff>
      <xdr:row>466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2657475" y="69303900"/>
          <a:ext cx="1524000" cy="3790950"/>
        </a:xfrm>
        <a:prstGeom prst="line">
          <a:avLst/>
        </a:prstGeom>
        <a:solidFill>
          <a:srgbClr val="FFFFFF"/>
        </a:solidFill>
        <a:ln w="2222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1047750</xdr:colOff>
      <xdr:row>444</xdr:row>
      <xdr:rowOff>9525</xdr:rowOff>
    </xdr:from>
    <xdr:to>
      <xdr:col>7</xdr:col>
      <xdr:colOff>495300</xdr:colOff>
      <xdr:row>466</xdr:row>
      <xdr:rowOff>0</xdr:rowOff>
    </xdr:to>
    <xdr:sp>
      <xdr:nvSpPr>
        <xdr:cNvPr id="10" name="Line 12"/>
        <xdr:cNvSpPr>
          <a:spLocks/>
        </xdr:cNvSpPr>
      </xdr:nvSpPr>
      <xdr:spPr>
        <a:xfrm>
          <a:off x="4181475" y="69313425"/>
          <a:ext cx="1514475" cy="3781425"/>
        </a:xfrm>
        <a:prstGeom prst="line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0</xdr:colOff>
      <xdr:row>466</xdr:row>
      <xdr:rowOff>0</xdr:rowOff>
    </xdr:from>
    <xdr:to>
      <xdr:col>9</xdr:col>
      <xdr:colOff>428625</xdr:colOff>
      <xdr:row>466</xdr:row>
      <xdr:rowOff>0</xdr:rowOff>
    </xdr:to>
    <xdr:sp>
      <xdr:nvSpPr>
        <xdr:cNvPr id="11" name="Line 13"/>
        <xdr:cNvSpPr>
          <a:spLocks/>
        </xdr:cNvSpPr>
      </xdr:nvSpPr>
      <xdr:spPr>
        <a:xfrm>
          <a:off x="6838950" y="73094850"/>
          <a:ext cx="42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 editAs="oneCell">
    <xdr:from>
      <xdr:col>4</xdr:col>
      <xdr:colOff>361950</xdr:colOff>
      <xdr:row>550</xdr:row>
      <xdr:rowOff>28575</xdr:rowOff>
    </xdr:from>
    <xdr:to>
      <xdr:col>8</xdr:col>
      <xdr:colOff>400050</xdr:colOff>
      <xdr:row>565</xdr:row>
      <xdr:rowOff>152400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52700" y="87210900"/>
          <a:ext cx="3867150" cy="3019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3</xdr:col>
      <xdr:colOff>1190625</xdr:colOff>
      <xdr:row>713</xdr:row>
      <xdr:rowOff>123825</xdr:rowOff>
    </xdr:from>
    <xdr:to>
      <xdr:col>9</xdr:col>
      <xdr:colOff>76200</xdr:colOff>
      <xdr:row>733</xdr:row>
      <xdr:rowOff>142875</xdr:rowOff>
    </xdr:to>
    <xdr:sp>
      <xdr:nvSpPr>
        <xdr:cNvPr id="13" name="Line 18"/>
        <xdr:cNvSpPr>
          <a:spLocks/>
        </xdr:cNvSpPr>
      </xdr:nvSpPr>
      <xdr:spPr>
        <a:xfrm>
          <a:off x="2181225" y="115395375"/>
          <a:ext cx="4733925" cy="2686050"/>
        </a:xfrm>
        <a:prstGeom prst="line">
          <a:avLst/>
        </a:prstGeom>
        <a:solidFill>
          <a:srgbClr val="FFFFFF"/>
        </a:solidFill>
        <a:ln w="2349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0</xdr:colOff>
      <xdr:row>783</xdr:row>
      <xdr:rowOff>28575</xdr:rowOff>
    </xdr:from>
    <xdr:to>
      <xdr:col>6</xdr:col>
      <xdr:colOff>0</xdr:colOff>
      <xdr:row>786</xdr:row>
      <xdr:rowOff>123825</xdr:rowOff>
    </xdr:to>
    <xdr:sp>
      <xdr:nvSpPr>
        <xdr:cNvPr id="14" name="Line 20"/>
        <xdr:cNvSpPr>
          <a:spLocks/>
        </xdr:cNvSpPr>
      </xdr:nvSpPr>
      <xdr:spPr>
        <a:xfrm>
          <a:off x="990600" y="126072900"/>
          <a:ext cx="3200400" cy="495300"/>
        </a:xfrm>
        <a:prstGeom prst="line">
          <a:avLst/>
        </a:prstGeom>
        <a:solidFill>
          <a:srgbClr val="FFFFFF"/>
        </a:solidFill>
        <a:ln w="2349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1047750</xdr:colOff>
      <xdr:row>786</xdr:row>
      <xdr:rowOff>104775</xdr:rowOff>
    </xdr:from>
    <xdr:to>
      <xdr:col>9</xdr:col>
      <xdr:colOff>57150</xdr:colOff>
      <xdr:row>800</xdr:row>
      <xdr:rowOff>9525</xdr:rowOff>
    </xdr:to>
    <xdr:sp>
      <xdr:nvSpPr>
        <xdr:cNvPr id="15" name="Line 21"/>
        <xdr:cNvSpPr>
          <a:spLocks/>
        </xdr:cNvSpPr>
      </xdr:nvSpPr>
      <xdr:spPr>
        <a:xfrm>
          <a:off x="4181475" y="126549150"/>
          <a:ext cx="2714625" cy="1876425"/>
        </a:xfrm>
        <a:prstGeom prst="line">
          <a:avLst/>
        </a:prstGeom>
        <a:solidFill>
          <a:srgbClr val="FFFFFF"/>
        </a:solidFill>
        <a:ln w="23495" cmpd="sng">
          <a:solidFill>
            <a:srgbClr val="0000D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783</xdr:row>
      <xdr:rowOff>28575</xdr:rowOff>
    </xdr:from>
    <xdr:to>
      <xdr:col>6</xdr:col>
      <xdr:colOff>0</xdr:colOff>
      <xdr:row>791</xdr:row>
      <xdr:rowOff>123825</xdr:rowOff>
    </xdr:to>
    <xdr:sp>
      <xdr:nvSpPr>
        <xdr:cNvPr id="16" name="Line 22"/>
        <xdr:cNvSpPr>
          <a:spLocks/>
        </xdr:cNvSpPr>
      </xdr:nvSpPr>
      <xdr:spPr>
        <a:xfrm>
          <a:off x="1000125" y="126072900"/>
          <a:ext cx="3190875" cy="1190625"/>
        </a:xfrm>
        <a:prstGeom prst="line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9525</xdr:colOff>
      <xdr:row>771</xdr:row>
      <xdr:rowOff>38100</xdr:rowOff>
    </xdr:from>
    <xdr:to>
      <xdr:col>6</xdr:col>
      <xdr:colOff>0</xdr:colOff>
      <xdr:row>786</xdr:row>
      <xdr:rowOff>95250</xdr:rowOff>
    </xdr:to>
    <xdr:sp>
      <xdr:nvSpPr>
        <xdr:cNvPr id="17" name="Line 23"/>
        <xdr:cNvSpPr>
          <a:spLocks/>
        </xdr:cNvSpPr>
      </xdr:nvSpPr>
      <xdr:spPr>
        <a:xfrm>
          <a:off x="1000125" y="124406025"/>
          <a:ext cx="3190875" cy="2133600"/>
        </a:xfrm>
        <a:prstGeom prst="line">
          <a:avLst/>
        </a:prstGeom>
        <a:solidFill>
          <a:srgbClr val="FFFFFF"/>
        </a:solidFill>
        <a:ln w="23495" cmpd="sng">
          <a:solidFill>
            <a:srgbClr val="0000D4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1038225</xdr:colOff>
      <xdr:row>796</xdr:row>
      <xdr:rowOff>9525</xdr:rowOff>
    </xdr:from>
    <xdr:to>
      <xdr:col>6</xdr:col>
      <xdr:colOff>409575</xdr:colOff>
      <xdr:row>800</xdr:row>
      <xdr:rowOff>0</xdr:rowOff>
    </xdr:to>
    <xdr:sp>
      <xdr:nvSpPr>
        <xdr:cNvPr id="18" name="Line 24"/>
        <xdr:cNvSpPr>
          <a:spLocks/>
        </xdr:cNvSpPr>
      </xdr:nvSpPr>
      <xdr:spPr>
        <a:xfrm>
          <a:off x="4171950" y="127873125"/>
          <a:ext cx="428625" cy="542925"/>
        </a:xfrm>
        <a:prstGeom prst="line">
          <a:avLst/>
        </a:prstGeom>
        <a:solidFill>
          <a:srgbClr val="FFFFFF"/>
        </a:solidFill>
        <a:ln w="23495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2</xdr:col>
      <xdr:colOff>523875</xdr:colOff>
      <xdr:row>771</xdr:row>
      <xdr:rowOff>38100</xdr:rowOff>
    </xdr:from>
    <xdr:to>
      <xdr:col>5</xdr:col>
      <xdr:colOff>1038225</xdr:colOff>
      <xdr:row>796</xdr:row>
      <xdr:rowOff>9525</xdr:rowOff>
    </xdr:to>
    <xdr:sp>
      <xdr:nvSpPr>
        <xdr:cNvPr id="19" name="Line 25"/>
        <xdr:cNvSpPr>
          <a:spLocks/>
        </xdr:cNvSpPr>
      </xdr:nvSpPr>
      <xdr:spPr>
        <a:xfrm>
          <a:off x="981075" y="124406025"/>
          <a:ext cx="3190875" cy="3467100"/>
        </a:xfrm>
        <a:prstGeom prst="line">
          <a:avLst/>
        </a:prstGeom>
        <a:solidFill>
          <a:srgbClr val="FFFFFF"/>
        </a:solidFill>
        <a:ln w="23495" cmpd="sng">
          <a:solidFill>
            <a:srgbClr val="DD080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2"/>
  <sheetViews>
    <sheetView tabSelected="1" workbookViewId="0" topLeftCell="A1">
      <selection activeCell="B2" sqref="B2"/>
    </sheetView>
  </sheetViews>
  <sheetFormatPr defaultColWidth="11.00390625" defaultRowHeight="12.75"/>
  <cols>
    <col min="1" max="1" width="3.25390625" style="6" customWidth="1"/>
    <col min="2" max="2" width="2.75390625" style="5" customWidth="1"/>
    <col min="3" max="3" width="7.00390625" style="1" customWidth="1"/>
    <col min="4" max="4" width="15.75390625" style="5" customWidth="1"/>
    <col min="5" max="5" width="12.375" style="5" customWidth="1"/>
    <col min="6" max="6" width="13.875" style="5" customWidth="1"/>
    <col min="7" max="7" width="13.25390625" style="5" customWidth="1"/>
    <col min="8" max="9" width="10.75390625" style="5" customWidth="1"/>
    <col min="10" max="10" width="11.125" style="5" customWidth="1"/>
    <col min="11" max="11" width="9.00390625" style="5" customWidth="1"/>
    <col min="12" max="13" width="5.00390625" style="5" customWidth="1"/>
    <col min="14" max="22" width="1.75390625" style="276" customWidth="1"/>
    <col min="23" max="16384" width="10.75390625" style="5" customWidth="1"/>
  </cols>
  <sheetData>
    <row r="1" spans="12:14" ht="12" thickBot="1">
      <c r="L1" s="6"/>
      <c r="M1" s="6"/>
      <c r="N1" s="275"/>
    </row>
    <row r="2" spans="4:9" ht="15" thickBot="1">
      <c r="D2" s="207"/>
      <c r="E2" s="208"/>
      <c r="F2" s="209" t="s">
        <v>56</v>
      </c>
      <c r="G2" s="208"/>
      <c r="H2" s="208"/>
      <c r="I2" s="210"/>
    </row>
    <row r="3" spans="2:10" ht="13.5">
      <c r="B3" s="90" t="s">
        <v>1</v>
      </c>
      <c r="E3" s="92"/>
      <c r="J3" s="79" t="s">
        <v>100</v>
      </c>
    </row>
    <row r="4" spans="1:3" ht="13.5">
      <c r="A4" s="75"/>
      <c r="B4" s="73" t="s">
        <v>101</v>
      </c>
      <c r="C4" s="5"/>
    </row>
    <row r="5" ht="13.5">
      <c r="C5" s="72" t="s">
        <v>102</v>
      </c>
    </row>
    <row r="6" ht="13.5">
      <c r="C6" s="72" t="s">
        <v>103</v>
      </c>
    </row>
    <row r="7" ht="13.5">
      <c r="C7" s="72" t="s">
        <v>104</v>
      </c>
    </row>
    <row r="8" ht="13.5">
      <c r="C8" s="72" t="s">
        <v>105</v>
      </c>
    </row>
    <row r="9" ht="13.5">
      <c r="C9" s="72" t="s">
        <v>106</v>
      </c>
    </row>
    <row r="11" spans="1:3" ht="13.5">
      <c r="A11" s="79" t="s">
        <v>107</v>
      </c>
      <c r="B11" s="73" t="s">
        <v>108</v>
      </c>
      <c r="C11" s="5"/>
    </row>
    <row r="12" ht="13.5">
      <c r="C12" s="72" t="s">
        <v>109</v>
      </c>
    </row>
    <row r="13" ht="13.5">
      <c r="C13" s="72" t="s">
        <v>110</v>
      </c>
    </row>
    <row r="14" ht="13.5">
      <c r="C14" s="72" t="s">
        <v>111</v>
      </c>
    </row>
    <row r="15" ht="13.5">
      <c r="C15" s="72" t="s">
        <v>2</v>
      </c>
    </row>
    <row r="16" ht="13.5">
      <c r="C16" s="72" t="s">
        <v>3</v>
      </c>
    </row>
    <row r="17" ht="13.5">
      <c r="C17" s="72" t="s">
        <v>4</v>
      </c>
    </row>
    <row r="18" ht="13.5">
      <c r="C18" s="72" t="s">
        <v>5</v>
      </c>
    </row>
    <row r="19" ht="13.5">
      <c r="C19" s="72" t="s">
        <v>6</v>
      </c>
    </row>
    <row r="20" ht="12" thickBot="1"/>
    <row r="21" spans="5:9" ht="15" thickBot="1">
      <c r="E21" s="325"/>
      <c r="F21" s="326"/>
      <c r="G21" s="327" t="s">
        <v>7</v>
      </c>
      <c r="H21" s="326"/>
      <c r="I21" s="328"/>
    </row>
    <row r="22" spans="3:9" ht="12">
      <c r="C22" s="5"/>
      <c r="D22" s="1"/>
      <c r="E22" s="11"/>
      <c r="F22" s="12"/>
      <c r="G22" s="12"/>
      <c r="H22" s="124" t="s">
        <v>8</v>
      </c>
      <c r="I22" s="125" t="s">
        <v>9</v>
      </c>
    </row>
    <row r="23" spans="3:9" ht="13.5">
      <c r="C23" s="5"/>
      <c r="D23" s="1"/>
      <c r="E23" s="13"/>
      <c r="F23" s="14"/>
      <c r="G23" s="76" t="s">
        <v>10</v>
      </c>
      <c r="H23" s="128">
        <v>10</v>
      </c>
      <c r="I23" s="126">
        <v>10</v>
      </c>
    </row>
    <row r="24" spans="3:10" ht="13.5">
      <c r="C24" s="5"/>
      <c r="D24" s="1"/>
      <c r="E24" s="13"/>
      <c r="F24" s="14"/>
      <c r="G24" s="76" t="s">
        <v>11</v>
      </c>
      <c r="H24" s="128">
        <v>-2</v>
      </c>
      <c r="I24" s="126">
        <v>-2</v>
      </c>
      <c r="J24" s="5" t="s">
        <v>12</v>
      </c>
    </row>
    <row r="25" spans="3:9" ht="13.5">
      <c r="C25" s="5"/>
      <c r="D25" s="1"/>
      <c r="E25" s="13"/>
      <c r="F25" s="14"/>
      <c r="G25" s="76" t="s">
        <v>13</v>
      </c>
      <c r="H25" s="128">
        <v>2</v>
      </c>
      <c r="I25" s="126">
        <v>2</v>
      </c>
    </row>
    <row r="26" spans="3:9" ht="15" thickBot="1">
      <c r="C26" s="5"/>
      <c r="D26" s="1"/>
      <c r="E26" s="17"/>
      <c r="F26" s="18"/>
      <c r="G26" s="77" t="s">
        <v>14</v>
      </c>
      <c r="H26" s="129">
        <v>2</v>
      </c>
      <c r="I26" s="127">
        <v>2</v>
      </c>
    </row>
    <row r="27" spans="7:8" ht="10.5">
      <c r="G27" s="7"/>
      <c r="H27" s="7"/>
    </row>
    <row r="28" ht="13.5">
      <c r="D28" s="72" t="s">
        <v>15</v>
      </c>
    </row>
    <row r="29" ht="13.5">
      <c r="D29" s="72" t="s">
        <v>16</v>
      </c>
    </row>
    <row r="30" ht="12" thickBot="1"/>
    <row r="31" spans="3:8" ht="15" thickBot="1">
      <c r="C31" s="1">
        <v>1</v>
      </c>
      <c r="D31" s="19" t="s">
        <v>17</v>
      </c>
      <c r="E31" s="20">
        <f>H23</f>
        <v>10</v>
      </c>
      <c r="F31" s="20">
        <f>H24</f>
        <v>-2</v>
      </c>
      <c r="G31" s="21" t="s">
        <v>18</v>
      </c>
      <c r="H31" s="72" t="s">
        <v>19</v>
      </c>
    </row>
    <row r="32" spans="4:7" ht="12" thickBot="1">
      <c r="D32" s="22"/>
      <c r="E32" s="7"/>
      <c r="F32" s="7"/>
      <c r="G32" s="7"/>
    </row>
    <row r="33" spans="3:8" ht="12" thickBot="1">
      <c r="C33" s="1">
        <v>2</v>
      </c>
      <c r="D33" s="23" t="s">
        <v>20</v>
      </c>
      <c r="E33" s="20">
        <f>ABS(E31/F31)</f>
        <v>5</v>
      </c>
      <c r="F33" s="20">
        <f>1/F31</f>
        <v>-0.5</v>
      </c>
      <c r="G33" s="20" t="s">
        <v>21</v>
      </c>
      <c r="H33" s="24" t="s">
        <v>22</v>
      </c>
    </row>
    <row r="34" spans="4:7" ht="12" thickBot="1">
      <c r="D34" s="22"/>
      <c r="E34" s="7"/>
      <c r="F34" s="7"/>
      <c r="G34" s="7"/>
    </row>
    <row r="35" spans="3:8" ht="12" thickBot="1">
      <c r="C35" s="1">
        <v>3</v>
      </c>
      <c r="D35" s="23" t="s">
        <v>23</v>
      </c>
      <c r="E35" s="20">
        <f>E33</f>
        <v>5</v>
      </c>
      <c r="F35" s="20" t="s">
        <v>24</v>
      </c>
      <c r="G35" s="20">
        <f>F33</f>
        <v>-0.5</v>
      </c>
      <c r="H35" s="21" t="s">
        <v>25</v>
      </c>
    </row>
    <row r="36" spans="4:8" ht="12" thickBot="1">
      <c r="D36" s="22"/>
      <c r="E36" s="7"/>
      <c r="F36" s="7"/>
      <c r="G36" s="7"/>
      <c r="H36" s="7"/>
    </row>
    <row r="37" spans="3:8" ht="12" thickBot="1">
      <c r="C37" s="1">
        <v>4</v>
      </c>
      <c r="D37" s="23" t="s">
        <v>26</v>
      </c>
      <c r="E37" s="20">
        <f>E35</f>
        <v>5</v>
      </c>
      <c r="F37" s="20">
        <f>2*G35</f>
        <v>-1</v>
      </c>
      <c r="G37" s="21" t="s">
        <v>24</v>
      </c>
      <c r="H37" s="7"/>
    </row>
    <row r="38" spans="4:8" ht="12" thickBot="1">
      <c r="D38" s="22"/>
      <c r="E38" s="7"/>
      <c r="F38" s="7"/>
      <c r="G38" s="7"/>
      <c r="H38" s="7"/>
    </row>
    <row r="39" spans="3:8" ht="12" thickBot="1">
      <c r="C39" s="1">
        <v>5</v>
      </c>
      <c r="D39" s="23" t="s">
        <v>27</v>
      </c>
      <c r="E39" s="20">
        <f>H25</f>
        <v>2</v>
      </c>
      <c r="F39" s="21" t="s">
        <v>24</v>
      </c>
      <c r="G39" s="7"/>
      <c r="H39" s="7"/>
    </row>
    <row r="40" ht="12" thickBot="1">
      <c r="D40" s="22"/>
    </row>
    <row r="41" spans="3:7" ht="12" thickBot="1">
      <c r="C41" s="1">
        <v>6</v>
      </c>
      <c r="D41" s="23" t="s">
        <v>28</v>
      </c>
      <c r="E41" s="20">
        <f>E39</f>
        <v>2</v>
      </c>
      <c r="F41" s="20" t="s">
        <v>29</v>
      </c>
      <c r="G41" s="25">
        <f>E39</f>
        <v>2</v>
      </c>
    </row>
    <row r="42" spans="4:7" ht="12" thickBot="1">
      <c r="D42" s="22"/>
      <c r="E42" s="7"/>
      <c r="F42" s="7"/>
      <c r="G42" s="7"/>
    </row>
    <row r="43" spans="3:7" ht="12" thickBot="1">
      <c r="C43" s="1">
        <v>7</v>
      </c>
      <c r="D43" s="23" t="s">
        <v>30</v>
      </c>
      <c r="E43" s="26">
        <f>E39</f>
        <v>2</v>
      </c>
      <c r="F43" s="7"/>
      <c r="G43" s="7"/>
    </row>
    <row r="44" spans="4:7" ht="10.5">
      <c r="D44" s="27"/>
      <c r="E44" s="28"/>
      <c r="F44" s="7"/>
      <c r="G44" s="7"/>
    </row>
    <row r="45" spans="4:9" ht="12.75" thickBot="1">
      <c r="D45" s="27"/>
      <c r="E45" s="123" t="s">
        <v>31</v>
      </c>
      <c r="F45" s="16"/>
      <c r="G45" s="7"/>
      <c r="I45" s="75" t="s">
        <v>57</v>
      </c>
    </row>
    <row r="46" spans="4:7" ht="12.75" thickBot="1">
      <c r="D46" s="222"/>
      <c r="E46" s="223" t="s">
        <v>32</v>
      </c>
      <c r="F46" s="224"/>
      <c r="G46" s="7"/>
    </row>
    <row r="47" spans="2:20" ht="12" thickBot="1">
      <c r="B47" s="6"/>
      <c r="D47" s="220" t="s">
        <v>33</v>
      </c>
      <c r="E47" s="162" t="s">
        <v>34</v>
      </c>
      <c r="F47" s="221" t="s">
        <v>35</v>
      </c>
      <c r="Q47" s="277" t="s">
        <v>33</v>
      </c>
      <c r="R47" s="277" t="s">
        <v>34</v>
      </c>
      <c r="S47" s="277" t="s">
        <v>36</v>
      </c>
      <c r="T47" s="277" t="s">
        <v>37</v>
      </c>
    </row>
    <row r="48" spans="2:20" ht="10.5">
      <c r="B48" s="6"/>
      <c r="C48" s="9">
        <v>0</v>
      </c>
      <c r="D48" s="211">
        <f aca="true" t="shared" si="0" ref="D48:D63">$E$35*C48+$G$35*(C48^2)</f>
        <v>0</v>
      </c>
      <c r="E48" s="212">
        <f aca="true" t="shared" si="1" ref="E48:E63">D74*G74</f>
        <v>0</v>
      </c>
      <c r="F48" s="213">
        <f aca="true" t="shared" si="2" ref="F48:F63">D48-E48</f>
        <v>0</v>
      </c>
      <c r="P48" s="276">
        <v>0</v>
      </c>
      <c r="Q48" s="277">
        <v>0</v>
      </c>
      <c r="R48" s="277">
        <v>0</v>
      </c>
      <c r="S48" s="278">
        <f aca="true" t="shared" si="3" ref="S48:T63">IF(D48&lt;0,0,D48)</f>
        <v>0</v>
      </c>
      <c r="T48" s="278">
        <f t="shared" si="3"/>
        <v>0</v>
      </c>
    </row>
    <row r="49" spans="2:20" ht="10.5">
      <c r="B49" s="6"/>
      <c r="C49" s="9">
        <v>1</v>
      </c>
      <c r="D49" s="214">
        <f t="shared" si="0"/>
        <v>4.5</v>
      </c>
      <c r="E49" s="215">
        <f t="shared" si="1"/>
        <v>2</v>
      </c>
      <c r="F49" s="216">
        <f t="shared" si="2"/>
        <v>2.5</v>
      </c>
      <c r="P49" s="279">
        <f aca="true" t="shared" si="4" ref="P49:P63">C49</f>
        <v>1</v>
      </c>
      <c r="Q49" s="278">
        <v>4.5</v>
      </c>
      <c r="R49" s="278">
        <v>2</v>
      </c>
      <c r="S49" s="278">
        <f t="shared" si="3"/>
        <v>4.5</v>
      </c>
      <c r="T49" s="278">
        <f t="shared" si="3"/>
        <v>2</v>
      </c>
    </row>
    <row r="50" spans="2:20" ht="10.5">
      <c r="B50" s="6"/>
      <c r="C50" s="9">
        <v>2</v>
      </c>
      <c r="D50" s="214">
        <f t="shared" si="0"/>
        <v>8</v>
      </c>
      <c r="E50" s="215">
        <f t="shared" si="1"/>
        <v>4</v>
      </c>
      <c r="F50" s="216">
        <f t="shared" si="2"/>
        <v>4</v>
      </c>
      <c r="P50" s="279">
        <f t="shared" si="4"/>
        <v>2</v>
      </c>
      <c r="Q50" s="278">
        <v>8</v>
      </c>
      <c r="R50" s="278">
        <v>4</v>
      </c>
      <c r="S50" s="278">
        <f t="shared" si="3"/>
        <v>8</v>
      </c>
      <c r="T50" s="278">
        <f t="shared" si="3"/>
        <v>4</v>
      </c>
    </row>
    <row r="51" spans="2:20" ht="10.5">
      <c r="B51" s="6"/>
      <c r="C51" s="9">
        <v>3</v>
      </c>
      <c r="D51" s="214">
        <f t="shared" si="0"/>
        <v>10.5</v>
      </c>
      <c r="E51" s="215">
        <f t="shared" si="1"/>
        <v>6</v>
      </c>
      <c r="F51" s="216">
        <f t="shared" si="2"/>
        <v>4.5</v>
      </c>
      <c r="P51" s="279">
        <f t="shared" si="4"/>
        <v>3</v>
      </c>
      <c r="Q51" s="278">
        <v>10.5</v>
      </c>
      <c r="R51" s="278">
        <v>6</v>
      </c>
      <c r="S51" s="278">
        <f t="shared" si="3"/>
        <v>10.5</v>
      </c>
      <c r="T51" s="278">
        <f t="shared" si="3"/>
        <v>6</v>
      </c>
    </row>
    <row r="52" spans="2:20" ht="10.5">
      <c r="B52" s="6"/>
      <c r="C52" s="9">
        <v>4</v>
      </c>
      <c r="D52" s="214">
        <f t="shared" si="0"/>
        <v>12</v>
      </c>
      <c r="E52" s="215">
        <f t="shared" si="1"/>
        <v>8</v>
      </c>
      <c r="F52" s="216">
        <f t="shared" si="2"/>
        <v>4</v>
      </c>
      <c r="P52" s="279">
        <f t="shared" si="4"/>
        <v>4</v>
      </c>
      <c r="Q52" s="278">
        <v>12</v>
      </c>
      <c r="R52" s="278">
        <v>8</v>
      </c>
      <c r="S52" s="278">
        <f t="shared" si="3"/>
        <v>12</v>
      </c>
      <c r="T52" s="278">
        <f t="shared" si="3"/>
        <v>8</v>
      </c>
    </row>
    <row r="53" spans="2:20" ht="10.5">
      <c r="B53" s="6"/>
      <c r="C53" s="9">
        <v>5</v>
      </c>
      <c r="D53" s="214">
        <f t="shared" si="0"/>
        <v>12.5</v>
      </c>
      <c r="E53" s="215">
        <f t="shared" si="1"/>
        <v>10</v>
      </c>
      <c r="F53" s="216">
        <f t="shared" si="2"/>
        <v>2.5</v>
      </c>
      <c r="P53" s="279">
        <f t="shared" si="4"/>
        <v>5</v>
      </c>
      <c r="Q53" s="278">
        <v>12.5</v>
      </c>
      <c r="R53" s="278">
        <v>10</v>
      </c>
      <c r="S53" s="278">
        <f t="shared" si="3"/>
        <v>12.5</v>
      </c>
      <c r="T53" s="278">
        <f t="shared" si="3"/>
        <v>10</v>
      </c>
    </row>
    <row r="54" spans="2:20" ht="10.5">
      <c r="B54" s="6"/>
      <c r="C54" s="9">
        <v>6</v>
      </c>
      <c r="D54" s="214">
        <f t="shared" si="0"/>
        <v>12</v>
      </c>
      <c r="E54" s="215">
        <f t="shared" si="1"/>
        <v>12</v>
      </c>
      <c r="F54" s="216">
        <f t="shared" si="2"/>
        <v>0</v>
      </c>
      <c r="P54" s="279">
        <f t="shared" si="4"/>
        <v>6</v>
      </c>
      <c r="Q54" s="278">
        <v>12</v>
      </c>
      <c r="R54" s="278">
        <v>12</v>
      </c>
      <c r="S54" s="278">
        <f t="shared" si="3"/>
        <v>12</v>
      </c>
      <c r="T54" s="278">
        <f t="shared" si="3"/>
        <v>12</v>
      </c>
    </row>
    <row r="55" spans="2:20" ht="10.5">
      <c r="B55" s="6"/>
      <c r="C55" s="9">
        <v>7</v>
      </c>
      <c r="D55" s="214">
        <f t="shared" si="0"/>
        <v>10.5</v>
      </c>
      <c r="E55" s="215">
        <f t="shared" si="1"/>
        <v>14</v>
      </c>
      <c r="F55" s="216">
        <f t="shared" si="2"/>
        <v>-3.5</v>
      </c>
      <c r="P55" s="279">
        <f t="shared" si="4"/>
        <v>7</v>
      </c>
      <c r="Q55" s="278">
        <v>10.5</v>
      </c>
      <c r="R55" s="278">
        <v>14</v>
      </c>
      <c r="S55" s="278">
        <f t="shared" si="3"/>
        <v>10.5</v>
      </c>
      <c r="T55" s="278">
        <f t="shared" si="3"/>
        <v>14</v>
      </c>
    </row>
    <row r="56" spans="2:20" ht="10.5">
      <c r="B56" s="6"/>
      <c r="C56" s="9">
        <v>8</v>
      </c>
      <c r="D56" s="214">
        <f t="shared" si="0"/>
        <v>8</v>
      </c>
      <c r="E56" s="215">
        <f t="shared" si="1"/>
        <v>16</v>
      </c>
      <c r="F56" s="216">
        <f t="shared" si="2"/>
        <v>-8</v>
      </c>
      <c r="P56" s="279">
        <f t="shared" si="4"/>
        <v>8</v>
      </c>
      <c r="Q56" s="278">
        <v>8</v>
      </c>
      <c r="R56" s="278">
        <v>16</v>
      </c>
      <c r="S56" s="278">
        <f t="shared" si="3"/>
        <v>8</v>
      </c>
      <c r="T56" s="278">
        <f t="shared" si="3"/>
        <v>16</v>
      </c>
    </row>
    <row r="57" spans="2:20" ht="10.5">
      <c r="B57" s="6"/>
      <c r="C57" s="9">
        <v>9</v>
      </c>
      <c r="D57" s="214">
        <f t="shared" si="0"/>
        <v>4.5</v>
      </c>
      <c r="E57" s="215">
        <f t="shared" si="1"/>
        <v>18</v>
      </c>
      <c r="F57" s="216">
        <f t="shared" si="2"/>
        <v>-13.5</v>
      </c>
      <c r="P57" s="279">
        <f t="shared" si="4"/>
        <v>9</v>
      </c>
      <c r="Q57" s="278">
        <v>4.5</v>
      </c>
      <c r="R57" s="278">
        <v>18</v>
      </c>
      <c r="S57" s="278">
        <f t="shared" si="3"/>
        <v>4.5</v>
      </c>
      <c r="T57" s="278">
        <f t="shared" si="3"/>
        <v>18</v>
      </c>
    </row>
    <row r="58" spans="2:20" ht="10.5">
      <c r="B58" s="6"/>
      <c r="C58" s="9">
        <v>10</v>
      </c>
      <c r="D58" s="214">
        <f t="shared" si="0"/>
        <v>0</v>
      </c>
      <c r="E58" s="215">
        <f t="shared" si="1"/>
        <v>20</v>
      </c>
      <c r="F58" s="216">
        <f t="shared" si="2"/>
        <v>-20</v>
      </c>
      <c r="P58" s="279">
        <f t="shared" si="4"/>
        <v>10</v>
      </c>
      <c r="Q58" s="278">
        <v>0</v>
      </c>
      <c r="R58" s="278">
        <v>20</v>
      </c>
      <c r="S58" s="278">
        <f t="shared" si="3"/>
        <v>0</v>
      </c>
      <c r="T58" s="278">
        <f t="shared" si="3"/>
        <v>20</v>
      </c>
    </row>
    <row r="59" spans="2:20" ht="10.5">
      <c r="B59" s="6"/>
      <c r="C59" s="9">
        <v>11</v>
      </c>
      <c r="D59" s="214">
        <f t="shared" si="0"/>
        <v>-5.5</v>
      </c>
      <c r="E59" s="215">
        <f t="shared" si="1"/>
        <v>22</v>
      </c>
      <c r="F59" s="216">
        <f t="shared" si="2"/>
        <v>-27.5</v>
      </c>
      <c r="P59" s="279">
        <f t="shared" si="4"/>
        <v>11</v>
      </c>
      <c r="Q59" s="278">
        <v>0</v>
      </c>
      <c r="R59" s="278">
        <v>22</v>
      </c>
      <c r="S59" s="278">
        <f t="shared" si="3"/>
        <v>0</v>
      </c>
      <c r="T59" s="278">
        <f t="shared" si="3"/>
        <v>22</v>
      </c>
    </row>
    <row r="60" spans="2:20" ht="10.5">
      <c r="B60" s="6"/>
      <c r="C60" s="9">
        <v>12</v>
      </c>
      <c r="D60" s="214">
        <f t="shared" si="0"/>
        <v>-12</v>
      </c>
      <c r="E60" s="215">
        <f t="shared" si="1"/>
        <v>24</v>
      </c>
      <c r="F60" s="216">
        <f t="shared" si="2"/>
        <v>-36</v>
      </c>
      <c r="P60" s="279">
        <f t="shared" si="4"/>
        <v>12</v>
      </c>
      <c r="Q60" s="278">
        <v>0</v>
      </c>
      <c r="R60" s="278">
        <v>24</v>
      </c>
      <c r="S60" s="278">
        <f t="shared" si="3"/>
        <v>0</v>
      </c>
      <c r="T60" s="278">
        <f t="shared" si="3"/>
        <v>24</v>
      </c>
    </row>
    <row r="61" spans="2:20" ht="10.5">
      <c r="B61" s="6"/>
      <c r="C61" s="9">
        <v>13</v>
      </c>
      <c r="D61" s="214">
        <f t="shared" si="0"/>
        <v>-19.5</v>
      </c>
      <c r="E61" s="215">
        <f t="shared" si="1"/>
        <v>26</v>
      </c>
      <c r="F61" s="216">
        <f t="shared" si="2"/>
        <v>-45.5</v>
      </c>
      <c r="P61" s="279">
        <f t="shared" si="4"/>
        <v>13</v>
      </c>
      <c r="Q61" s="278">
        <v>0</v>
      </c>
      <c r="R61" s="278">
        <v>26</v>
      </c>
      <c r="S61" s="278">
        <f t="shared" si="3"/>
        <v>0</v>
      </c>
      <c r="T61" s="278">
        <f t="shared" si="3"/>
        <v>26</v>
      </c>
    </row>
    <row r="62" spans="2:20" ht="10.5">
      <c r="B62" s="6"/>
      <c r="C62" s="9">
        <v>14</v>
      </c>
      <c r="D62" s="214">
        <f t="shared" si="0"/>
        <v>-28</v>
      </c>
      <c r="E62" s="215">
        <f t="shared" si="1"/>
        <v>28</v>
      </c>
      <c r="F62" s="216">
        <f t="shared" si="2"/>
        <v>-56</v>
      </c>
      <c r="P62" s="279">
        <f t="shared" si="4"/>
        <v>14</v>
      </c>
      <c r="Q62" s="278">
        <v>0</v>
      </c>
      <c r="R62" s="278">
        <v>28</v>
      </c>
      <c r="S62" s="278">
        <f t="shared" si="3"/>
        <v>0</v>
      </c>
      <c r="T62" s="278">
        <f t="shared" si="3"/>
        <v>28</v>
      </c>
    </row>
    <row r="63" spans="2:20" ht="12" thickBot="1">
      <c r="B63" s="6"/>
      <c r="C63" s="9">
        <v>15</v>
      </c>
      <c r="D63" s="217">
        <f t="shared" si="0"/>
        <v>-37.5</v>
      </c>
      <c r="E63" s="218">
        <f t="shared" si="1"/>
        <v>30</v>
      </c>
      <c r="F63" s="219">
        <f t="shared" si="2"/>
        <v>-67.5</v>
      </c>
      <c r="P63" s="279">
        <f t="shared" si="4"/>
        <v>15</v>
      </c>
      <c r="Q63" s="278">
        <v>0</v>
      </c>
      <c r="R63" s="278">
        <v>30</v>
      </c>
      <c r="S63" s="278">
        <f t="shared" si="3"/>
        <v>0</v>
      </c>
      <c r="T63" s="278">
        <f t="shared" si="3"/>
        <v>30</v>
      </c>
    </row>
    <row r="64" spans="2:20" ht="10.5">
      <c r="B64" s="6"/>
      <c r="C64" s="9"/>
      <c r="D64" s="30"/>
      <c r="E64" s="8"/>
      <c r="F64" s="8"/>
      <c r="P64" s="279"/>
      <c r="Q64" s="278"/>
      <c r="R64" s="278"/>
      <c r="S64" s="278"/>
      <c r="T64" s="278"/>
    </row>
    <row r="65" spans="2:20" ht="10.5">
      <c r="B65" s="6"/>
      <c r="C65" s="9"/>
      <c r="D65" s="30"/>
      <c r="E65" s="8"/>
      <c r="F65" s="8"/>
      <c r="P65" s="279"/>
      <c r="Q65" s="278"/>
      <c r="R65" s="278"/>
      <c r="S65" s="278"/>
      <c r="T65" s="278"/>
    </row>
    <row r="66" spans="2:20" ht="10.5">
      <c r="B66" s="6"/>
      <c r="C66" s="9"/>
      <c r="D66" s="30"/>
      <c r="E66" s="8"/>
      <c r="F66" s="8"/>
      <c r="P66" s="279"/>
      <c r="Q66" s="278"/>
      <c r="R66" s="278"/>
      <c r="S66" s="278"/>
      <c r="T66" s="278"/>
    </row>
    <row r="67" spans="2:20" ht="10.5">
      <c r="B67" s="6"/>
      <c r="C67" s="9"/>
      <c r="D67" s="30"/>
      <c r="E67" s="8"/>
      <c r="F67" s="8"/>
      <c r="P67" s="279"/>
      <c r="Q67" s="278"/>
      <c r="R67" s="278"/>
      <c r="S67" s="278"/>
      <c r="T67" s="278"/>
    </row>
    <row r="68" spans="2:20" ht="10.5">
      <c r="B68" s="6"/>
      <c r="C68" s="9"/>
      <c r="D68" s="30"/>
      <c r="E68" s="8"/>
      <c r="F68" s="8"/>
      <c r="P68" s="279"/>
      <c r="Q68" s="278"/>
      <c r="R68" s="278"/>
      <c r="S68" s="278"/>
      <c r="T68" s="278"/>
    </row>
    <row r="69" spans="2:20" ht="10.5">
      <c r="B69" s="6"/>
      <c r="C69" s="9"/>
      <c r="D69" s="30"/>
      <c r="E69" s="8"/>
      <c r="F69" s="8"/>
      <c r="P69" s="279"/>
      <c r="Q69" s="278"/>
      <c r="R69" s="278"/>
      <c r="S69" s="278"/>
      <c r="T69" s="278"/>
    </row>
    <row r="70" spans="2:20" ht="10.5">
      <c r="B70" s="6"/>
      <c r="C70" s="9"/>
      <c r="D70" s="30"/>
      <c r="E70" s="8"/>
      <c r="F70" s="8"/>
      <c r="P70" s="279"/>
      <c r="Q70" s="278"/>
      <c r="R70" s="278"/>
      <c r="S70" s="278"/>
      <c r="T70" s="278"/>
    </row>
    <row r="71" spans="3:18" ht="15" thickBot="1">
      <c r="C71" s="5"/>
      <c r="D71" s="1"/>
      <c r="E71" s="22"/>
      <c r="F71" s="79" t="s">
        <v>38</v>
      </c>
      <c r="R71" s="277"/>
    </row>
    <row r="72" spans="3:20" ht="15" thickBot="1">
      <c r="C72" s="5"/>
      <c r="D72" s="1"/>
      <c r="E72" s="225"/>
      <c r="F72" s="226"/>
      <c r="G72" s="227" t="s">
        <v>39</v>
      </c>
      <c r="H72" s="210"/>
      <c r="R72" s="277"/>
      <c r="T72" s="275" t="s">
        <v>40</v>
      </c>
    </row>
    <row r="73" spans="3:22" ht="12.75" thickBot="1">
      <c r="C73" s="5"/>
      <c r="D73" s="1"/>
      <c r="E73" s="228" t="s">
        <v>22</v>
      </c>
      <c r="F73" s="229" t="s">
        <v>41</v>
      </c>
      <c r="G73" s="229" t="s">
        <v>42</v>
      </c>
      <c r="H73" s="229" t="s">
        <v>43</v>
      </c>
      <c r="Q73" s="277" t="s">
        <v>22</v>
      </c>
      <c r="R73" s="277" t="s">
        <v>41</v>
      </c>
      <c r="S73" s="277" t="s">
        <v>44</v>
      </c>
      <c r="T73" s="277" t="s">
        <v>45</v>
      </c>
      <c r="U73" s="277" t="s">
        <v>46</v>
      </c>
      <c r="V73" s="277" t="s">
        <v>47</v>
      </c>
    </row>
    <row r="74" spans="3:22" ht="10.5">
      <c r="C74" s="5"/>
      <c r="D74" s="32">
        <v>0</v>
      </c>
      <c r="E74" s="230">
        <f aca="true" t="shared" si="5" ref="E74:E89">$E$33+$F$33*D74</f>
        <v>5</v>
      </c>
      <c r="F74" s="231">
        <f aca="true" t="shared" si="6" ref="F74:F89">$E$37+$F$37*D74</f>
        <v>5</v>
      </c>
      <c r="G74" s="231">
        <f>H74</f>
        <v>2</v>
      </c>
      <c r="H74" s="232">
        <f aca="true" t="shared" si="7" ref="H74:H89">$E$43</f>
        <v>2</v>
      </c>
      <c r="P74" s="276">
        <v>0</v>
      </c>
      <c r="Q74" s="277">
        <v>5</v>
      </c>
      <c r="R74" s="277">
        <v>5</v>
      </c>
      <c r="S74" s="277">
        <v>2</v>
      </c>
      <c r="T74" s="280">
        <f aca="true" t="shared" si="8" ref="T74:V89">IF(E74&lt;0,0,E74)</f>
        <v>5</v>
      </c>
      <c r="U74" s="280">
        <f t="shared" si="8"/>
        <v>5</v>
      </c>
      <c r="V74" s="280">
        <f t="shared" si="8"/>
        <v>2</v>
      </c>
    </row>
    <row r="75" spans="3:22" ht="10.5">
      <c r="C75" s="5"/>
      <c r="D75" s="32">
        <v>1</v>
      </c>
      <c r="E75" s="233">
        <f t="shared" si="5"/>
        <v>4.5</v>
      </c>
      <c r="F75" s="234">
        <f t="shared" si="6"/>
        <v>4</v>
      </c>
      <c r="G75" s="234">
        <f aca="true" t="shared" si="9" ref="G75:G89">$E$39*D75/D75</f>
        <v>2</v>
      </c>
      <c r="H75" s="235">
        <f t="shared" si="7"/>
        <v>2</v>
      </c>
      <c r="P75" s="279">
        <v>1</v>
      </c>
      <c r="Q75" s="280">
        <v>4.5</v>
      </c>
      <c r="R75" s="280">
        <v>4</v>
      </c>
      <c r="S75" s="280">
        <v>2</v>
      </c>
      <c r="T75" s="280">
        <f t="shared" si="8"/>
        <v>4.5</v>
      </c>
      <c r="U75" s="280">
        <f t="shared" si="8"/>
        <v>4</v>
      </c>
      <c r="V75" s="280">
        <f t="shared" si="8"/>
        <v>2</v>
      </c>
    </row>
    <row r="76" spans="3:22" ht="10.5">
      <c r="C76" s="5"/>
      <c r="D76" s="32">
        <v>2</v>
      </c>
      <c r="E76" s="233">
        <f t="shared" si="5"/>
        <v>4</v>
      </c>
      <c r="F76" s="234">
        <f t="shared" si="6"/>
        <v>3</v>
      </c>
      <c r="G76" s="234">
        <f t="shared" si="9"/>
        <v>2</v>
      </c>
      <c r="H76" s="235">
        <f t="shared" si="7"/>
        <v>2</v>
      </c>
      <c r="P76" s="279">
        <v>2</v>
      </c>
      <c r="Q76" s="280">
        <v>4</v>
      </c>
      <c r="R76" s="280">
        <v>3</v>
      </c>
      <c r="S76" s="280">
        <v>2</v>
      </c>
      <c r="T76" s="280">
        <f t="shared" si="8"/>
        <v>4</v>
      </c>
      <c r="U76" s="280">
        <f t="shared" si="8"/>
        <v>3</v>
      </c>
      <c r="V76" s="280">
        <f t="shared" si="8"/>
        <v>2</v>
      </c>
    </row>
    <row r="77" spans="3:22" ht="10.5">
      <c r="C77" s="5"/>
      <c r="D77" s="32">
        <v>3</v>
      </c>
      <c r="E77" s="233">
        <f t="shared" si="5"/>
        <v>3.5</v>
      </c>
      <c r="F77" s="234">
        <f t="shared" si="6"/>
        <v>2</v>
      </c>
      <c r="G77" s="234">
        <f t="shared" si="9"/>
        <v>2</v>
      </c>
      <c r="H77" s="235">
        <f t="shared" si="7"/>
        <v>2</v>
      </c>
      <c r="P77" s="279">
        <v>3</v>
      </c>
      <c r="Q77" s="280">
        <v>3.5</v>
      </c>
      <c r="R77" s="280">
        <v>2</v>
      </c>
      <c r="S77" s="280">
        <v>2</v>
      </c>
      <c r="T77" s="280">
        <f t="shared" si="8"/>
        <v>3.5</v>
      </c>
      <c r="U77" s="280">
        <f t="shared" si="8"/>
        <v>2</v>
      </c>
      <c r="V77" s="280">
        <f t="shared" si="8"/>
        <v>2</v>
      </c>
    </row>
    <row r="78" spans="3:22" ht="10.5">
      <c r="C78" s="5"/>
      <c r="D78" s="32">
        <v>4</v>
      </c>
      <c r="E78" s="233">
        <f t="shared" si="5"/>
        <v>3</v>
      </c>
      <c r="F78" s="234">
        <f t="shared" si="6"/>
        <v>1</v>
      </c>
      <c r="G78" s="234">
        <f t="shared" si="9"/>
        <v>2</v>
      </c>
      <c r="H78" s="235">
        <f t="shared" si="7"/>
        <v>2</v>
      </c>
      <c r="P78" s="279">
        <v>4</v>
      </c>
      <c r="Q78" s="280">
        <v>3</v>
      </c>
      <c r="R78" s="280">
        <v>1</v>
      </c>
      <c r="S78" s="280">
        <v>2</v>
      </c>
      <c r="T78" s="280">
        <f t="shared" si="8"/>
        <v>3</v>
      </c>
      <c r="U78" s="280">
        <f t="shared" si="8"/>
        <v>1</v>
      </c>
      <c r="V78" s="280">
        <f t="shared" si="8"/>
        <v>2</v>
      </c>
    </row>
    <row r="79" spans="3:22" ht="10.5">
      <c r="C79" s="5"/>
      <c r="D79" s="32">
        <v>5</v>
      </c>
      <c r="E79" s="233">
        <f t="shared" si="5"/>
        <v>2.5</v>
      </c>
      <c r="F79" s="234">
        <f t="shared" si="6"/>
        <v>0</v>
      </c>
      <c r="G79" s="234">
        <f t="shared" si="9"/>
        <v>2</v>
      </c>
      <c r="H79" s="235">
        <f t="shared" si="7"/>
        <v>2</v>
      </c>
      <c r="P79" s="279">
        <v>5</v>
      </c>
      <c r="Q79" s="280">
        <v>2.5</v>
      </c>
      <c r="R79" s="280">
        <v>0</v>
      </c>
      <c r="S79" s="280">
        <v>2</v>
      </c>
      <c r="T79" s="280">
        <f t="shared" si="8"/>
        <v>2.5</v>
      </c>
      <c r="U79" s="280">
        <f t="shared" si="8"/>
        <v>0</v>
      </c>
      <c r="V79" s="280">
        <f t="shared" si="8"/>
        <v>2</v>
      </c>
    </row>
    <row r="80" spans="3:22" ht="10.5">
      <c r="C80" s="5"/>
      <c r="D80" s="32">
        <v>6</v>
      </c>
      <c r="E80" s="233">
        <f t="shared" si="5"/>
        <v>2</v>
      </c>
      <c r="F80" s="234">
        <f t="shared" si="6"/>
        <v>-1</v>
      </c>
      <c r="G80" s="234">
        <f t="shared" si="9"/>
        <v>2</v>
      </c>
      <c r="H80" s="235">
        <f t="shared" si="7"/>
        <v>2</v>
      </c>
      <c r="P80" s="279">
        <v>6</v>
      </c>
      <c r="Q80" s="280">
        <v>2</v>
      </c>
      <c r="R80" s="280">
        <v>0</v>
      </c>
      <c r="S80" s="280">
        <v>2</v>
      </c>
      <c r="T80" s="280">
        <f t="shared" si="8"/>
        <v>2</v>
      </c>
      <c r="U80" s="280">
        <f t="shared" si="8"/>
        <v>0</v>
      </c>
      <c r="V80" s="280">
        <f t="shared" si="8"/>
        <v>2</v>
      </c>
    </row>
    <row r="81" spans="3:22" ht="10.5">
      <c r="C81" s="5"/>
      <c r="D81" s="32">
        <v>7</v>
      </c>
      <c r="E81" s="233">
        <f t="shared" si="5"/>
        <v>1.5</v>
      </c>
      <c r="F81" s="234">
        <f t="shared" si="6"/>
        <v>-2</v>
      </c>
      <c r="G81" s="234">
        <f t="shared" si="9"/>
        <v>2</v>
      </c>
      <c r="H81" s="235">
        <f t="shared" si="7"/>
        <v>2</v>
      </c>
      <c r="P81" s="279">
        <v>7</v>
      </c>
      <c r="Q81" s="280">
        <v>1.5</v>
      </c>
      <c r="R81" s="280">
        <v>0</v>
      </c>
      <c r="S81" s="280">
        <v>2</v>
      </c>
      <c r="T81" s="280">
        <f t="shared" si="8"/>
        <v>1.5</v>
      </c>
      <c r="U81" s="280">
        <f t="shared" si="8"/>
        <v>0</v>
      </c>
      <c r="V81" s="280">
        <f t="shared" si="8"/>
        <v>2</v>
      </c>
    </row>
    <row r="82" spans="3:22" ht="10.5">
      <c r="C82" s="5"/>
      <c r="D82" s="32">
        <v>8</v>
      </c>
      <c r="E82" s="233">
        <f t="shared" si="5"/>
        <v>1</v>
      </c>
      <c r="F82" s="234">
        <f t="shared" si="6"/>
        <v>-3</v>
      </c>
      <c r="G82" s="234">
        <f t="shared" si="9"/>
        <v>2</v>
      </c>
      <c r="H82" s="235">
        <f t="shared" si="7"/>
        <v>2</v>
      </c>
      <c r="P82" s="279">
        <v>8</v>
      </c>
      <c r="Q82" s="280">
        <v>1</v>
      </c>
      <c r="R82" s="280">
        <v>0</v>
      </c>
      <c r="S82" s="280">
        <v>2</v>
      </c>
      <c r="T82" s="280">
        <f t="shared" si="8"/>
        <v>1</v>
      </c>
      <c r="U82" s="280">
        <f t="shared" si="8"/>
        <v>0</v>
      </c>
      <c r="V82" s="280">
        <f t="shared" si="8"/>
        <v>2</v>
      </c>
    </row>
    <row r="83" spans="3:22" ht="10.5">
      <c r="C83" s="5"/>
      <c r="D83" s="32">
        <v>9</v>
      </c>
      <c r="E83" s="233">
        <f t="shared" si="5"/>
        <v>0.5</v>
      </c>
      <c r="F83" s="234">
        <f t="shared" si="6"/>
        <v>-4</v>
      </c>
      <c r="G83" s="234">
        <f t="shared" si="9"/>
        <v>2</v>
      </c>
      <c r="H83" s="235">
        <f t="shared" si="7"/>
        <v>2</v>
      </c>
      <c r="P83" s="279">
        <v>9</v>
      </c>
      <c r="Q83" s="280">
        <v>0.5</v>
      </c>
      <c r="R83" s="280">
        <v>0</v>
      </c>
      <c r="S83" s="280">
        <v>2</v>
      </c>
      <c r="T83" s="280">
        <f t="shared" si="8"/>
        <v>0.5</v>
      </c>
      <c r="U83" s="280">
        <f t="shared" si="8"/>
        <v>0</v>
      </c>
      <c r="V83" s="280">
        <f t="shared" si="8"/>
        <v>2</v>
      </c>
    </row>
    <row r="84" spans="3:22" ht="10.5">
      <c r="C84" s="5"/>
      <c r="D84" s="32">
        <v>10</v>
      </c>
      <c r="E84" s="233">
        <f t="shared" si="5"/>
        <v>0</v>
      </c>
      <c r="F84" s="234">
        <f t="shared" si="6"/>
        <v>-5</v>
      </c>
      <c r="G84" s="234">
        <f t="shared" si="9"/>
        <v>2</v>
      </c>
      <c r="H84" s="235">
        <f t="shared" si="7"/>
        <v>2</v>
      </c>
      <c r="P84" s="279">
        <v>10</v>
      </c>
      <c r="Q84" s="280">
        <v>0</v>
      </c>
      <c r="R84" s="280">
        <v>0</v>
      </c>
      <c r="S84" s="280">
        <v>2</v>
      </c>
      <c r="T84" s="280">
        <f t="shared" si="8"/>
        <v>0</v>
      </c>
      <c r="U84" s="280">
        <f t="shared" si="8"/>
        <v>0</v>
      </c>
      <c r="V84" s="280">
        <f t="shared" si="8"/>
        <v>2</v>
      </c>
    </row>
    <row r="85" spans="3:22" ht="10.5">
      <c r="C85" s="5"/>
      <c r="D85" s="32">
        <v>11</v>
      </c>
      <c r="E85" s="233">
        <f t="shared" si="5"/>
        <v>-0.5</v>
      </c>
      <c r="F85" s="234">
        <f t="shared" si="6"/>
        <v>-6</v>
      </c>
      <c r="G85" s="234">
        <f t="shared" si="9"/>
        <v>2</v>
      </c>
      <c r="H85" s="235">
        <f t="shared" si="7"/>
        <v>2</v>
      </c>
      <c r="P85" s="279">
        <v>11</v>
      </c>
      <c r="Q85" s="280">
        <v>0</v>
      </c>
      <c r="R85" s="280">
        <v>0</v>
      </c>
      <c r="S85" s="280">
        <v>2</v>
      </c>
      <c r="T85" s="280">
        <f t="shared" si="8"/>
        <v>0</v>
      </c>
      <c r="U85" s="280">
        <f t="shared" si="8"/>
        <v>0</v>
      </c>
      <c r="V85" s="280">
        <f t="shared" si="8"/>
        <v>2</v>
      </c>
    </row>
    <row r="86" spans="3:22" ht="10.5">
      <c r="C86" s="5"/>
      <c r="D86" s="32">
        <v>12</v>
      </c>
      <c r="E86" s="233">
        <f t="shared" si="5"/>
        <v>-1</v>
      </c>
      <c r="F86" s="234">
        <f t="shared" si="6"/>
        <v>-7</v>
      </c>
      <c r="G86" s="234">
        <f t="shared" si="9"/>
        <v>2</v>
      </c>
      <c r="H86" s="235">
        <f t="shared" si="7"/>
        <v>2</v>
      </c>
      <c r="P86" s="279">
        <v>12</v>
      </c>
      <c r="Q86" s="280">
        <v>0</v>
      </c>
      <c r="R86" s="280">
        <v>0</v>
      </c>
      <c r="S86" s="280">
        <v>2</v>
      </c>
      <c r="T86" s="280">
        <f t="shared" si="8"/>
        <v>0</v>
      </c>
      <c r="U86" s="280">
        <f t="shared" si="8"/>
        <v>0</v>
      </c>
      <c r="V86" s="280">
        <f t="shared" si="8"/>
        <v>2</v>
      </c>
    </row>
    <row r="87" spans="3:22" ht="10.5">
      <c r="C87" s="5"/>
      <c r="D87" s="32">
        <v>13</v>
      </c>
      <c r="E87" s="233">
        <f t="shared" si="5"/>
        <v>-1.5</v>
      </c>
      <c r="F87" s="234">
        <f t="shared" si="6"/>
        <v>-8</v>
      </c>
      <c r="G87" s="234">
        <f t="shared" si="9"/>
        <v>2</v>
      </c>
      <c r="H87" s="235">
        <f t="shared" si="7"/>
        <v>2</v>
      </c>
      <c r="P87" s="279">
        <v>13</v>
      </c>
      <c r="Q87" s="280">
        <v>0</v>
      </c>
      <c r="R87" s="280">
        <v>0</v>
      </c>
      <c r="S87" s="280">
        <v>2</v>
      </c>
      <c r="T87" s="280">
        <f t="shared" si="8"/>
        <v>0</v>
      </c>
      <c r="U87" s="280">
        <f t="shared" si="8"/>
        <v>0</v>
      </c>
      <c r="V87" s="280">
        <f t="shared" si="8"/>
        <v>2</v>
      </c>
    </row>
    <row r="88" spans="3:22" ht="10.5">
      <c r="C88" s="5"/>
      <c r="D88" s="32">
        <v>14</v>
      </c>
      <c r="E88" s="233">
        <f t="shared" si="5"/>
        <v>-2</v>
      </c>
      <c r="F88" s="234">
        <f t="shared" si="6"/>
        <v>-9</v>
      </c>
      <c r="G88" s="234">
        <f t="shared" si="9"/>
        <v>2</v>
      </c>
      <c r="H88" s="235">
        <f t="shared" si="7"/>
        <v>2</v>
      </c>
      <c r="P88" s="279">
        <v>14</v>
      </c>
      <c r="Q88" s="280">
        <v>0</v>
      </c>
      <c r="R88" s="280">
        <v>0</v>
      </c>
      <c r="S88" s="280">
        <v>2</v>
      </c>
      <c r="T88" s="280">
        <f t="shared" si="8"/>
        <v>0</v>
      </c>
      <c r="U88" s="280">
        <f t="shared" si="8"/>
        <v>0</v>
      </c>
      <c r="V88" s="280">
        <f t="shared" si="8"/>
        <v>2</v>
      </c>
    </row>
    <row r="89" spans="3:22" ht="12" thickBot="1">
      <c r="C89" s="5"/>
      <c r="D89" s="32">
        <v>15</v>
      </c>
      <c r="E89" s="236">
        <f t="shared" si="5"/>
        <v>-2.5</v>
      </c>
      <c r="F89" s="237">
        <f t="shared" si="6"/>
        <v>-10</v>
      </c>
      <c r="G89" s="237">
        <f t="shared" si="9"/>
        <v>2</v>
      </c>
      <c r="H89" s="238">
        <f t="shared" si="7"/>
        <v>2</v>
      </c>
      <c r="P89" s="279">
        <v>15</v>
      </c>
      <c r="Q89" s="280">
        <v>0</v>
      </c>
      <c r="R89" s="280">
        <v>0</v>
      </c>
      <c r="S89" s="280">
        <v>2</v>
      </c>
      <c r="T89" s="280">
        <f t="shared" si="8"/>
        <v>0</v>
      </c>
      <c r="U89" s="280">
        <f t="shared" si="8"/>
        <v>0</v>
      </c>
      <c r="V89" s="280">
        <f t="shared" si="8"/>
        <v>2</v>
      </c>
    </row>
    <row r="90" ht="10.5">
      <c r="D90" s="22"/>
    </row>
    <row r="91" ht="10.5">
      <c r="D91" s="22"/>
    </row>
    <row r="92" spans="4:7" ht="12">
      <c r="D92" s="22"/>
      <c r="G92" s="75" t="s">
        <v>58</v>
      </c>
    </row>
    <row r="93" ht="12">
      <c r="D93" s="22"/>
    </row>
    <row r="94" ht="12">
      <c r="D94" s="22"/>
    </row>
    <row r="95" ht="12">
      <c r="D95" s="22"/>
    </row>
    <row r="96" ht="12">
      <c r="D96" s="22"/>
    </row>
    <row r="97" ht="12">
      <c r="D97" s="22"/>
    </row>
    <row r="98" ht="12">
      <c r="D98" s="22"/>
    </row>
    <row r="99" ht="12">
      <c r="D99" s="22"/>
    </row>
    <row r="100" ht="12">
      <c r="D100" s="22"/>
    </row>
    <row r="101" ht="12">
      <c r="D101" s="22"/>
    </row>
    <row r="102" ht="12">
      <c r="D102" s="22"/>
    </row>
    <row r="103" ht="12">
      <c r="D103" s="22"/>
    </row>
    <row r="104" ht="12">
      <c r="D104" s="22"/>
    </row>
    <row r="105" ht="12">
      <c r="D105" s="22"/>
    </row>
    <row r="106" ht="12">
      <c r="D106" s="22"/>
    </row>
    <row r="107" ht="12">
      <c r="D107" s="22"/>
    </row>
    <row r="108" spans="1:3" ht="12">
      <c r="A108" s="5"/>
      <c r="C108" s="5"/>
    </row>
    <row r="109" spans="1:3" ht="12">
      <c r="A109" s="5"/>
      <c r="C109" s="5"/>
    </row>
    <row r="110" spans="1:3" ht="12">
      <c r="A110" s="5"/>
      <c r="C110" s="5"/>
    </row>
    <row r="111" spans="1:3" ht="12">
      <c r="A111" s="5"/>
      <c r="C111" s="5"/>
    </row>
    <row r="112" ht="12">
      <c r="D112" s="22"/>
    </row>
    <row r="113" ht="13.5">
      <c r="C113" s="72" t="s">
        <v>48</v>
      </c>
    </row>
    <row r="114" ht="13.5">
      <c r="C114" s="72" t="s">
        <v>49</v>
      </c>
    </row>
    <row r="115" ht="13.5">
      <c r="C115" s="72" t="s">
        <v>50</v>
      </c>
    </row>
    <row r="116" ht="13.5">
      <c r="C116" s="72" t="s">
        <v>51</v>
      </c>
    </row>
    <row r="117" ht="13.5">
      <c r="C117" s="72" t="s">
        <v>52</v>
      </c>
    </row>
    <row r="118" ht="10.5">
      <c r="C118" s="5"/>
    </row>
    <row r="119" ht="13.5">
      <c r="C119" s="72" t="s">
        <v>53</v>
      </c>
    </row>
    <row r="120" ht="13.5">
      <c r="C120" s="72" t="s">
        <v>54</v>
      </c>
    </row>
    <row r="121" ht="13.5">
      <c r="C121" s="72" t="s">
        <v>55</v>
      </c>
    </row>
    <row r="122" ht="13.5">
      <c r="C122" s="72" t="s">
        <v>161</v>
      </c>
    </row>
    <row r="123" ht="13.5">
      <c r="C123" s="72" t="s">
        <v>162</v>
      </c>
    </row>
    <row r="125" spans="1:3" ht="13.5">
      <c r="A125" s="79" t="s">
        <v>163</v>
      </c>
      <c r="B125" s="81" t="s">
        <v>164</v>
      </c>
      <c r="C125" s="5"/>
    </row>
    <row r="126" ht="13.5">
      <c r="C126" s="71" t="s">
        <v>165</v>
      </c>
    </row>
    <row r="127" ht="12" thickBot="1"/>
    <row r="128" spans="3:8" ht="12" thickBot="1">
      <c r="C128" s="1">
        <v>8</v>
      </c>
      <c r="D128" s="19" t="s">
        <v>166</v>
      </c>
      <c r="E128" s="20">
        <f>E37</f>
        <v>5</v>
      </c>
      <c r="F128" s="20">
        <f>F37</f>
        <v>-1</v>
      </c>
      <c r="G128" s="34" t="s">
        <v>167</v>
      </c>
      <c r="H128" s="21">
        <f>E43</f>
        <v>2</v>
      </c>
    </row>
    <row r="129" ht="12" thickBot="1"/>
    <row r="130" spans="4:5" ht="12" thickBot="1">
      <c r="D130" s="19" t="s">
        <v>168</v>
      </c>
      <c r="E130" s="21">
        <f>(E128-H128)/ABS(F128)</f>
        <v>3</v>
      </c>
    </row>
    <row r="132" ht="13.5">
      <c r="C132" s="71" t="s">
        <v>169</v>
      </c>
    </row>
    <row r="133" ht="12" thickBot="1">
      <c r="C133" s="33"/>
    </row>
    <row r="134" spans="3:9" ht="12" thickBot="1">
      <c r="C134" s="1">
        <v>9</v>
      </c>
      <c r="D134" s="19" t="s">
        <v>170</v>
      </c>
      <c r="E134" s="35">
        <f>E33</f>
        <v>5</v>
      </c>
      <c r="F134" s="35">
        <f>F33</f>
        <v>-0.5</v>
      </c>
      <c r="G134" s="36" t="s">
        <v>171</v>
      </c>
      <c r="H134" s="15"/>
      <c r="I134" s="37"/>
    </row>
    <row r="135" spans="4:7" ht="12" thickBot="1">
      <c r="D135" s="38" t="s">
        <v>172</v>
      </c>
      <c r="E135" s="28">
        <f>E134</f>
        <v>5</v>
      </c>
      <c r="F135" s="28">
        <f>F134</f>
        <v>-0.5</v>
      </c>
      <c r="G135" s="39">
        <f>E130</f>
        <v>3</v>
      </c>
    </row>
    <row r="136" spans="4:5" ht="12" thickBot="1">
      <c r="D136" s="19" t="s">
        <v>170</v>
      </c>
      <c r="E136" s="40">
        <f>E33+F33*E130</f>
        <v>3.5</v>
      </c>
    </row>
    <row r="138" ht="13.5">
      <c r="C138" s="71" t="s">
        <v>173</v>
      </c>
    </row>
    <row r="139" spans="4:6" ht="12">
      <c r="D139" s="75" t="s">
        <v>174</v>
      </c>
      <c r="E139" s="41">
        <f>E130</f>
        <v>3</v>
      </c>
      <c r="F139" s="4">
        <f>E136</f>
        <v>3.5</v>
      </c>
    </row>
    <row r="140" ht="12" thickBot="1"/>
    <row r="141" spans="3:6" ht="15" thickBot="1">
      <c r="C141" s="1">
        <v>10</v>
      </c>
      <c r="D141" s="19" t="s">
        <v>175</v>
      </c>
      <c r="E141" s="40">
        <f>E139*F139</f>
        <v>10.5</v>
      </c>
      <c r="F141" s="72" t="s">
        <v>176</v>
      </c>
    </row>
    <row r="143" spans="4:6" ht="10.5">
      <c r="D143" s="6" t="s">
        <v>177</v>
      </c>
      <c r="E143" s="41">
        <f>E39</f>
        <v>2</v>
      </c>
      <c r="F143" s="10" t="s">
        <v>24</v>
      </c>
    </row>
    <row r="144" spans="4:6" ht="10.5">
      <c r="D144" s="6" t="s">
        <v>172</v>
      </c>
      <c r="E144" s="41">
        <f>E39</f>
        <v>2</v>
      </c>
      <c r="F144" s="4">
        <f>E130</f>
        <v>3</v>
      </c>
    </row>
    <row r="145" spans="4:6" ht="12" thickBot="1">
      <c r="D145" s="6"/>
      <c r="E145" s="41"/>
      <c r="F145" s="4"/>
    </row>
    <row r="146" spans="3:5" ht="12" thickBot="1">
      <c r="C146" s="1">
        <v>11</v>
      </c>
      <c r="D146" s="19" t="s">
        <v>177</v>
      </c>
      <c r="E146" s="40">
        <f>E144*F144</f>
        <v>6</v>
      </c>
    </row>
    <row r="148" spans="4:7" ht="10.5">
      <c r="D148" s="6" t="s">
        <v>178</v>
      </c>
      <c r="E148" s="10">
        <f>E141</f>
        <v>10.5</v>
      </c>
      <c r="F148" s="2" t="s">
        <v>179</v>
      </c>
      <c r="G148" s="4">
        <f>E146</f>
        <v>6</v>
      </c>
    </row>
    <row r="149" ht="12" thickBot="1"/>
    <row r="150" spans="3:5" ht="12" thickBot="1">
      <c r="C150" s="1">
        <v>12</v>
      </c>
      <c r="D150" s="19" t="s">
        <v>180</v>
      </c>
      <c r="E150" s="40">
        <f>E148-G148</f>
        <v>4.5</v>
      </c>
    </row>
    <row r="152" ht="13.5">
      <c r="C152" s="81" t="s">
        <v>181</v>
      </c>
    </row>
    <row r="153" ht="13.5">
      <c r="C153" s="71" t="s">
        <v>182</v>
      </c>
    </row>
    <row r="154" ht="13.5">
      <c r="C154" s="71" t="s">
        <v>183</v>
      </c>
    </row>
    <row r="155" ht="13.5">
      <c r="C155" s="71" t="s">
        <v>184</v>
      </c>
    </row>
    <row r="156" ht="12" thickBot="1">
      <c r="C156" s="33"/>
    </row>
    <row r="157" spans="3:8" ht="12" thickBot="1">
      <c r="C157" s="1">
        <v>13</v>
      </c>
      <c r="D157" s="19" t="s">
        <v>185</v>
      </c>
      <c r="E157" s="20">
        <f>E33</f>
        <v>5</v>
      </c>
      <c r="F157" s="20">
        <f>F33</f>
        <v>-0.5</v>
      </c>
      <c r="G157" s="34" t="s">
        <v>186</v>
      </c>
      <c r="H157" s="21">
        <f>E43</f>
        <v>2</v>
      </c>
    </row>
    <row r="158" spans="3:8" ht="12" thickBot="1">
      <c r="C158" s="33"/>
      <c r="D158" s="6"/>
      <c r="E158" s="7"/>
      <c r="F158" s="7"/>
      <c r="H158" s="7"/>
    </row>
    <row r="159" spans="3:8" ht="12" thickBot="1">
      <c r="C159" s="33"/>
      <c r="D159" s="19" t="s">
        <v>185</v>
      </c>
      <c r="E159" s="21">
        <f>(E157-H157)/ABS(F157)</f>
        <v>6</v>
      </c>
      <c r="F159" s="1">
        <v>14</v>
      </c>
      <c r="G159" s="19" t="s">
        <v>188</v>
      </c>
      <c r="H159" s="40">
        <f>E159*E161</f>
        <v>12</v>
      </c>
    </row>
    <row r="160" spans="3:8" ht="12" thickBot="1">
      <c r="C160" s="33"/>
      <c r="D160" s="6"/>
      <c r="E160" s="7"/>
      <c r="F160" s="33"/>
      <c r="G160" s="6"/>
      <c r="H160" s="41"/>
    </row>
    <row r="161" spans="3:8" ht="12" thickBot="1">
      <c r="C161" s="33"/>
      <c r="D161" s="19" t="s">
        <v>187</v>
      </c>
      <c r="E161" s="40">
        <f>E43</f>
        <v>2</v>
      </c>
      <c r="F161" s="1">
        <v>15</v>
      </c>
      <c r="G161" s="19" t="s">
        <v>189</v>
      </c>
      <c r="H161" s="40">
        <f>E39*E159</f>
        <v>12</v>
      </c>
    </row>
    <row r="162" spans="3:8" ht="12" thickBot="1">
      <c r="C162" s="33"/>
      <c r="D162" s="6"/>
      <c r="E162" s="7"/>
      <c r="F162" s="33"/>
      <c r="G162" s="6"/>
      <c r="H162" s="42"/>
    </row>
    <row r="163" spans="6:8" ht="12" thickBot="1">
      <c r="F163" s="62"/>
      <c r="G163" s="19" t="s">
        <v>72</v>
      </c>
      <c r="H163" s="40">
        <f>H159-H161</f>
        <v>0</v>
      </c>
    </row>
    <row r="164" spans="3:8" ht="10.5">
      <c r="C164" s="33"/>
      <c r="D164" s="6"/>
      <c r="E164" s="41"/>
      <c r="F164" s="7"/>
      <c r="H164" s="7"/>
    </row>
    <row r="165" ht="13.5">
      <c r="C165" s="71" t="s">
        <v>73</v>
      </c>
    </row>
    <row r="166" ht="13.5">
      <c r="C166" s="71" t="s">
        <v>74</v>
      </c>
    </row>
    <row r="167" ht="13.5">
      <c r="C167" s="71" t="s">
        <v>75</v>
      </c>
    </row>
    <row r="168" ht="13.5">
      <c r="C168" s="71" t="s">
        <v>76</v>
      </c>
    </row>
    <row r="169" ht="10.5">
      <c r="C169" s="33"/>
    </row>
    <row r="170" ht="13.5">
      <c r="C170" s="71" t="s">
        <v>77</v>
      </c>
    </row>
    <row r="171" ht="13.5">
      <c r="C171" s="71" t="s">
        <v>78</v>
      </c>
    </row>
    <row r="172" ht="13.5">
      <c r="C172" s="71" t="s">
        <v>79</v>
      </c>
    </row>
    <row r="173" ht="13.5">
      <c r="C173" s="71" t="s">
        <v>80</v>
      </c>
    </row>
    <row r="174" ht="12" thickBot="1">
      <c r="C174" s="33"/>
    </row>
    <row r="175" spans="3:5" ht="15" thickBot="1">
      <c r="C175" s="43">
        <v>16</v>
      </c>
      <c r="D175" s="178" t="s">
        <v>81</v>
      </c>
      <c r="E175" s="180">
        <f>0.5*(E136-E43)*(6-3)</f>
        <v>2.25</v>
      </c>
    </row>
    <row r="176" spans="3:5" ht="10.5">
      <c r="C176" s="43"/>
      <c r="D176" s="15"/>
      <c r="E176" s="37"/>
    </row>
    <row r="177" ht="13.5">
      <c r="C177" s="71" t="s">
        <v>82</v>
      </c>
    </row>
    <row r="178" ht="13.5">
      <c r="C178" s="71" t="s">
        <v>83</v>
      </c>
    </row>
    <row r="179" ht="13.5">
      <c r="C179" s="71" t="s">
        <v>84</v>
      </c>
    </row>
    <row r="180" ht="13.5">
      <c r="C180" s="71" t="s">
        <v>85</v>
      </c>
    </row>
    <row r="181" ht="12" thickBot="1">
      <c r="C181" s="33"/>
    </row>
    <row r="182" spans="3:5" ht="15" thickBot="1">
      <c r="C182" s="43">
        <v>17</v>
      </c>
      <c r="D182" s="178" t="s">
        <v>86</v>
      </c>
      <c r="E182" s="179">
        <f>0.5*(E33-E43)*E159</f>
        <v>9</v>
      </c>
    </row>
    <row r="183" ht="10.5">
      <c r="C183" s="33"/>
    </row>
    <row r="184" ht="13.5">
      <c r="C184" s="71" t="s">
        <v>87</v>
      </c>
    </row>
    <row r="185" ht="15" thickBot="1">
      <c r="C185" s="71" t="s">
        <v>88</v>
      </c>
    </row>
    <row r="186" spans="3:9" ht="15" thickBot="1">
      <c r="C186" s="71" t="s">
        <v>89</v>
      </c>
      <c r="H186" s="158">
        <f>E182</f>
        <v>9</v>
      </c>
      <c r="I186" s="72" t="s">
        <v>90</v>
      </c>
    </row>
    <row r="187" spans="3:8" ht="15" thickBot="1">
      <c r="C187" s="71" t="s">
        <v>91</v>
      </c>
      <c r="G187" s="159">
        <f>E175</f>
        <v>2.25</v>
      </c>
      <c r="H187" s="72" t="s">
        <v>92</v>
      </c>
    </row>
    <row r="188" spans="3:9" ht="15" thickBot="1">
      <c r="C188" s="71" t="s">
        <v>93</v>
      </c>
      <c r="E188" s="158">
        <f>E182-E175</f>
        <v>6.75</v>
      </c>
      <c r="F188" s="72" t="s">
        <v>94</v>
      </c>
      <c r="H188" s="177">
        <f>E188/H186</f>
        <v>0.75</v>
      </c>
      <c r="I188" s="72" t="s">
        <v>95</v>
      </c>
    </row>
    <row r="189" ht="13.5">
      <c r="C189" s="71" t="s">
        <v>96</v>
      </c>
    </row>
    <row r="190" ht="13.5">
      <c r="C190" s="71" t="s">
        <v>97</v>
      </c>
    </row>
    <row r="191" ht="13.5">
      <c r="C191" s="71" t="s">
        <v>98</v>
      </c>
    </row>
    <row r="192" ht="13.5">
      <c r="C192" s="71" t="s">
        <v>99</v>
      </c>
    </row>
    <row r="193" ht="13.5">
      <c r="C193" s="71" t="s">
        <v>233</v>
      </c>
    </row>
    <row r="194" ht="13.5">
      <c r="C194" s="71" t="s">
        <v>234</v>
      </c>
    </row>
    <row r="195" ht="10.5">
      <c r="C195" s="33"/>
    </row>
    <row r="196" spans="1:3" ht="13.5">
      <c r="A196" s="79" t="s">
        <v>235</v>
      </c>
      <c r="B196" s="81" t="s">
        <v>236</v>
      </c>
      <c r="C196" s="5"/>
    </row>
    <row r="197" ht="13.5">
      <c r="C197" s="71" t="s">
        <v>237</v>
      </c>
    </row>
    <row r="198" ht="13.5">
      <c r="C198" s="71" t="s">
        <v>238</v>
      </c>
    </row>
    <row r="199" ht="13.5">
      <c r="C199" s="71" t="s">
        <v>239</v>
      </c>
    </row>
    <row r="200" ht="13.5">
      <c r="C200" s="130" t="s">
        <v>240</v>
      </c>
    </row>
    <row r="201" ht="13.5">
      <c r="C201" s="71" t="s">
        <v>241</v>
      </c>
    </row>
    <row r="202" ht="13.5">
      <c r="C202" s="71" t="s">
        <v>242</v>
      </c>
    </row>
    <row r="203" ht="13.5">
      <c r="C203" s="71" t="s">
        <v>243</v>
      </c>
    </row>
    <row r="204" ht="12.75" customHeight="1">
      <c r="C204" s="71" t="s">
        <v>244</v>
      </c>
    </row>
    <row r="205" ht="13.5">
      <c r="C205" s="71" t="s">
        <v>245</v>
      </c>
    </row>
    <row r="206" ht="10.5">
      <c r="C206" s="33"/>
    </row>
    <row r="207" ht="10.5">
      <c r="C207" s="33"/>
    </row>
    <row r="208" spans="1:3" ht="13.5">
      <c r="A208" s="6" t="s">
        <v>59</v>
      </c>
      <c r="C208" s="71" t="s">
        <v>112</v>
      </c>
    </row>
    <row r="209" ht="13.5">
      <c r="C209" s="71" t="s">
        <v>113</v>
      </c>
    </row>
    <row r="210" ht="12" thickBot="1">
      <c r="C210" s="33"/>
    </row>
    <row r="211" spans="3:8" ht="15" thickBot="1">
      <c r="C211" s="1">
        <v>18</v>
      </c>
      <c r="D211" s="44" t="s">
        <v>114</v>
      </c>
      <c r="E211" s="20">
        <f>E31</f>
        <v>10</v>
      </c>
      <c r="F211" s="20">
        <f>F31</f>
        <v>-2</v>
      </c>
      <c r="G211" s="24" t="s">
        <v>18</v>
      </c>
      <c r="H211" s="72" t="s">
        <v>115</v>
      </c>
    </row>
    <row r="212" ht="10.5">
      <c r="C212" s="33"/>
    </row>
    <row r="213" ht="13.5">
      <c r="C213" s="72" t="s">
        <v>116</v>
      </c>
    </row>
    <row r="214" ht="12" thickBot="1">
      <c r="C214" s="33"/>
    </row>
    <row r="215" spans="3:9" ht="12" thickBot="1">
      <c r="C215" s="1">
        <v>19</v>
      </c>
      <c r="D215" s="19" t="s">
        <v>117</v>
      </c>
      <c r="E215" s="20">
        <f>E31</f>
        <v>10</v>
      </c>
      <c r="F215" s="20">
        <f>-(I26-1)</f>
        <v>-1</v>
      </c>
      <c r="G215" s="34" t="s">
        <v>118</v>
      </c>
      <c r="H215" s="20">
        <f>F31</f>
        <v>-2</v>
      </c>
      <c r="I215" s="24" t="s">
        <v>18</v>
      </c>
    </row>
    <row r="216" ht="10.5">
      <c r="C216" s="33"/>
    </row>
    <row r="217" ht="13.5">
      <c r="C217" s="72" t="s">
        <v>119</v>
      </c>
    </row>
    <row r="218" ht="10.5">
      <c r="C218" s="33"/>
    </row>
    <row r="219" spans="3:14" ht="15" thickBot="1">
      <c r="C219" s="1">
        <v>20</v>
      </c>
      <c r="D219" s="6" t="s">
        <v>20</v>
      </c>
      <c r="E219" s="45">
        <f>E215</f>
        <v>10</v>
      </c>
      <c r="F219" s="28">
        <f>F215</f>
        <v>-1</v>
      </c>
      <c r="G219" s="28" t="s">
        <v>118</v>
      </c>
      <c r="H219" s="41">
        <f>1/H215</f>
        <v>-0.5</v>
      </c>
      <c r="I219" s="41" t="s">
        <v>120</v>
      </c>
      <c r="J219" s="7"/>
      <c r="K219" s="7"/>
      <c r="L219" s="7"/>
      <c r="M219" s="7"/>
      <c r="N219" s="280"/>
    </row>
    <row r="220" spans="3:14" ht="10.5">
      <c r="C220" s="5"/>
      <c r="F220" s="3">
        <f>ABS(H215)</f>
        <v>2</v>
      </c>
      <c r="G220" s="41"/>
      <c r="H220" s="41"/>
      <c r="I220" s="41"/>
      <c r="J220" s="7"/>
      <c r="K220" s="7"/>
      <c r="L220" s="7"/>
      <c r="M220" s="7"/>
      <c r="N220" s="280"/>
    </row>
    <row r="221" spans="4:11" ht="12" thickBot="1">
      <c r="D221" s="10"/>
      <c r="E221" s="41"/>
      <c r="F221" s="41"/>
      <c r="G221" s="41"/>
      <c r="H221" s="41"/>
      <c r="I221" s="7"/>
      <c r="J221" s="7"/>
      <c r="K221" s="7"/>
    </row>
    <row r="222" spans="3:11" ht="12" thickBot="1">
      <c r="C222" s="33"/>
      <c r="D222" s="19" t="s">
        <v>20</v>
      </c>
      <c r="E222" s="20">
        <f>E219/F220</f>
        <v>5</v>
      </c>
      <c r="F222" s="20">
        <f>F219/F220</f>
        <v>-0.5</v>
      </c>
      <c r="G222" s="20" t="s">
        <v>118</v>
      </c>
      <c r="H222" s="20">
        <f>H219</f>
        <v>-0.5</v>
      </c>
      <c r="I222" s="21" t="s">
        <v>121</v>
      </c>
      <c r="J222" s="7"/>
      <c r="K222" s="7"/>
    </row>
    <row r="223" spans="3:11" ht="10.5">
      <c r="C223" s="33"/>
      <c r="E223" s="7"/>
      <c r="F223" s="7"/>
      <c r="G223" s="7"/>
      <c r="H223" s="7"/>
      <c r="I223" s="7"/>
      <c r="J223" s="7"/>
      <c r="K223" s="7"/>
    </row>
    <row r="224" spans="3:10" ht="13.5">
      <c r="C224" s="72" t="s">
        <v>122</v>
      </c>
      <c r="D224" s="7"/>
      <c r="E224" s="7"/>
      <c r="F224" s="7"/>
      <c r="G224" s="7"/>
      <c r="H224" s="7"/>
      <c r="I224" s="7"/>
      <c r="J224" s="7"/>
    </row>
    <row r="225" spans="3:11" ht="12" thickBot="1">
      <c r="C225" s="33"/>
      <c r="E225" s="7"/>
      <c r="F225" s="7"/>
      <c r="G225" s="7"/>
      <c r="H225" s="7"/>
      <c r="I225" s="7"/>
      <c r="J225" s="7"/>
      <c r="K225" s="7"/>
    </row>
    <row r="226" spans="3:10" ht="12" thickBot="1">
      <c r="C226" s="1">
        <v>21</v>
      </c>
      <c r="D226" s="19" t="s">
        <v>123</v>
      </c>
      <c r="E226" s="20">
        <f>E222</f>
        <v>5</v>
      </c>
      <c r="F226" s="20" t="s">
        <v>24</v>
      </c>
      <c r="G226" s="20">
        <f>F222</f>
        <v>-0.5</v>
      </c>
      <c r="H226" s="20" t="s">
        <v>124</v>
      </c>
      <c r="I226" s="20">
        <f>H222</f>
        <v>-0.5</v>
      </c>
      <c r="J226" s="21" t="s">
        <v>125</v>
      </c>
    </row>
    <row r="227" spans="3:11" ht="10.5">
      <c r="C227" s="33"/>
      <c r="E227" s="7"/>
      <c r="F227" s="7"/>
      <c r="G227" s="7"/>
      <c r="H227" s="7"/>
      <c r="I227" s="7"/>
      <c r="J227" s="7"/>
      <c r="K227" s="7"/>
    </row>
    <row r="228" spans="3:10" ht="13.5">
      <c r="C228" s="72" t="s">
        <v>126</v>
      </c>
      <c r="D228" s="7"/>
      <c r="E228" s="7"/>
      <c r="F228" s="7"/>
      <c r="G228" s="7"/>
      <c r="H228" s="7"/>
      <c r="I228" s="7"/>
      <c r="J228" s="7"/>
    </row>
    <row r="229" spans="3:10" ht="13.5">
      <c r="C229" s="72" t="s">
        <v>127</v>
      </c>
      <c r="D229" s="7"/>
      <c r="E229" s="7"/>
      <c r="F229" s="7"/>
      <c r="G229" s="7"/>
      <c r="H229" s="7"/>
      <c r="I229" s="7"/>
      <c r="J229" s="7"/>
    </row>
    <row r="230" spans="3:11" ht="12" thickBot="1">
      <c r="C230" s="33"/>
      <c r="E230" s="7"/>
      <c r="F230" s="7"/>
      <c r="G230" s="7"/>
      <c r="H230" s="7"/>
      <c r="I230" s="7"/>
      <c r="J230" s="7"/>
      <c r="K230" s="7"/>
    </row>
    <row r="231" spans="3:11" ht="12.75" thickBot="1">
      <c r="C231" s="1">
        <v>22</v>
      </c>
      <c r="D231" s="44" t="s">
        <v>128</v>
      </c>
      <c r="E231" s="20">
        <f>E226</f>
        <v>5</v>
      </c>
      <c r="F231" s="20">
        <f>G226</f>
        <v>-0.5</v>
      </c>
      <c r="G231" s="20" t="s">
        <v>118</v>
      </c>
      <c r="H231" s="20">
        <f>2*I226</f>
        <v>-1</v>
      </c>
      <c r="I231" s="21" t="s">
        <v>121</v>
      </c>
      <c r="J231" s="41"/>
      <c r="K231" s="41"/>
    </row>
    <row r="232" spans="3:11" ht="10.5">
      <c r="C232" s="33"/>
      <c r="E232" s="7"/>
      <c r="F232" s="7"/>
      <c r="G232" s="7"/>
      <c r="H232" s="7"/>
      <c r="I232" s="7"/>
      <c r="J232" s="7"/>
      <c r="K232" s="7"/>
    </row>
    <row r="233" spans="3:10" ht="13.5">
      <c r="C233" s="72" t="s">
        <v>129</v>
      </c>
      <c r="D233" s="7"/>
      <c r="E233" s="7"/>
      <c r="F233" s="7"/>
      <c r="G233" s="84">
        <f>E43</f>
        <v>2</v>
      </c>
      <c r="H233" s="83" t="s">
        <v>130</v>
      </c>
      <c r="I233" s="7"/>
      <c r="J233" s="7"/>
    </row>
    <row r="234" ht="13.5">
      <c r="C234" s="72" t="s">
        <v>131</v>
      </c>
    </row>
    <row r="235" ht="13.5">
      <c r="C235" s="72" t="s">
        <v>132</v>
      </c>
    </row>
    <row r="236" ht="12" thickBot="1">
      <c r="C236" s="33"/>
    </row>
    <row r="237" spans="3:10" ht="12" thickBot="1">
      <c r="C237" s="1">
        <v>23</v>
      </c>
      <c r="D237" s="44" t="s">
        <v>133</v>
      </c>
      <c r="E237" s="20">
        <f>E231</f>
        <v>5</v>
      </c>
      <c r="F237" s="20">
        <f>F231</f>
        <v>-0.5</v>
      </c>
      <c r="G237" s="20" t="s">
        <v>118</v>
      </c>
      <c r="H237" s="20">
        <f>H231</f>
        <v>-1</v>
      </c>
      <c r="I237" s="34" t="s">
        <v>134</v>
      </c>
      <c r="J237" s="46">
        <f>G233</f>
        <v>2</v>
      </c>
    </row>
    <row r="238" ht="10.5">
      <c r="C238" s="33"/>
    </row>
    <row r="239" spans="3:9" ht="13.5">
      <c r="C239" s="33"/>
      <c r="D239" s="85" t="s">
        <v>135</v>
      </c>
      <c r="E239" s="41">
        <f>ABS(F237)</f>
        <v>0.5</v>
      </c>
      <c r="F239" s="10" t="s">
        <v>118</v>
      </c>
      <c r="G239" s="41">
        <f>ABS(H237)</f>
        <v>1</v>
      </c>
      <c r="H239" s="10" t="s">
        <v>136</v>
      </c>
      <c r="I239" s="4">
        <f>E237-J237</f>
        <v>3</v>
      </c>
    </row>
    <row r="240" spans="3:9" ht="10.5">
      <c r="C240" s="33"/>
      <c r="D240" s="38"/>
      <c r="E240" s="41"/>
      <c r="F240" s="10"/>
      <c r="G240" s="41"/>
      <c r="H240" s="10"/>
      <c r="I240" s="4"/>
    </row>
    <row r="241" spans="3:4" ht="15" thickBot="1">
      <c r="C241" s="33"/>
      <c r="D241" s="85" t="s">
        <v>137</v>
      </c>
    </row>
    <row r="242" spans="3:8" ht="12" thickBot="1">
      <c r="C242" s="1">
        <v>24</v>
      </c>
      <c r="D242" s="38"/>
      <c r="E242" s="19" t="s">
        <v>138</v>
      </c>
      <c r="F242" s="20">
        <f>I239/G239</f>
        <v>3</v>
      </c>
      <c r="G242" s="20">
        <f>-E239/G239</f>
        <v>-0.5</v>
      </c>
      <c r="H242" s="24" t="s">
        <v>118</v>
      </c>
    </row>
    <row r="244" ht="13.5">
      <c r="C244" s="72" t="s">
        <v>139</v>
      </c>
    </row>
    <row r="245" ht="13.5">
      <c r="C245" s="72" t="s">
        <v>140</v>
      </c>
    </row>
    <row r="246" ht="12" thickBot="1"/>
    <row r="247" spans="3:10" ht="12" thickBot="1">
      <c r="C247" s="1">
        <v>25</v>
      </c>
      <c r="D247" s="6" t="s">
        <v>141</v>
      </c>
      <c r="E247" s="47">
        <f>E222</f>
        <v>5</v>
      </c>
      <c r="F247" s="34" t="s">
        <v>24</v>
      </c>
      <c r="G247" s="20">
        <f>F222</f>
        <v>-0.5</v>
      </c>
      <c r="H247" s="34" t="s">
        <v>142</v>
      </c>
      <c r="I247" s="20">
        <f>H222</f>
        <v>-0.5</v>
      </c>
      <c r="J247" s="24" t="s">
        <v>143</v>
      </c>
    </row>
    <row r="249" ht="12" thickBot="1"/>
    <row r="250" spans="3:9" ht="12" thickBot="1">
      <c r="C250" s="1">
        <v>26</v>
      </c>
      <c r="D250" s="10" t="s">
        <v>144</v>
      </c>
      <c r="E250" s="47">
        <f>E37</f>
        <v>5</v>
      </c>
      <c r="F250" s="20">
        <f>2*G247</f>
        <v>-1</v>
      </c>
      <c r="G250" s="34" t="s">
        <v>145</v>
      </c>
      <c r="H250" s="20">
        <f>I247</f>
        <v>-0.5</v>
      </c>
      <c r="I250" s="24" t="s">
        <v>121</v>
      </c>
    </row>
    <row r="252" ht="12" thickBot="1"/>
    <row r="253" spans="3:10" ht="12" thickBot="1">
      <c r="C253" s="1">
        <v>27</v>
      </c>
      <c r="D253" s="10" t="s">
        <v>146</v>
      </c>
      <c r="E253" s="47">
        <f>E250</f>
        <v>5</v>
      </c>
      <c r="F253" s="20">
        <f>F250</f>
        <v>-1</v>
      </c>
      <c r="G253" s="34" t="s">
        <v>118</v>
      </c>
      <c r="H253" s="35">
        <f>H250</f>
        <v>-0.5</v>
      </c>
      <c r="I253" s="34" t="s">
        <v>147</v>
      </c>
      <c r="J253" s="46">
        <f>G233</f>
        <v>2</v>
      </c>
    </row>
    <row r="256" spans="4:9" ht="13.5">
      <c r="D256" s="85" t="s">
        <v>135</v>
      </c>
      <c r="E256" s="41">
        <f>ABS(H253)</f>
        <v>0.5</v>
      </c>
      <c r="F256" s="41" t="s">
        <v>148</v>
      </c>
      <c r="G256" s="41">
        <f>ABS(F253)</f>
        <v>1</v>
      </c>
      <c r="H256" s="10" t="s">
        <v>149</v>
      </c>
      <c r="I256" s="4">
        <f>E253-J253</f>
        <v>3</v>
      </c>
    </row>
    <row r="257" spans="4:9" ht="10.5">
      <c r="D257" s="38"/>
      <c r="E257" s="10"/>
      <c r="F257" s="10"/>
      <c r="G257" s="10"/>
      <c r="H257" s="10"/>
      <c r="I257" s="4"/>
    </row>
    <row r="258" ht="15" thickBot="1">
      <c r="D258" s="85" t="s">
        <v>137</v>
      </c>
    </row>
    <row r="259" spans="3:8" ht="12" thickBot="1">
      <c r="C259" s="1">
        <v>28</v>
      </c>
      <c r="D259" s="38"/>
      <c r="E259" s="19" t="s">
        <v>150</v>
      </c>
      <c r="F259" s="20">
        <f>I256/G256</f>
        <v>3</v>
      </c>
      <c r="G259" s="34">
        <f>-E256/G256</f>
        <v>-0.5</v>
      </c>
      <c r="H259" s="24" t="s">
        <v>121</v>
      </c>
    </row>
    <row r="261" spans="3:5" ht="13.5">
      <c r="C261" s="72" t="s">
        <v>151</v>
      </c>
      <c r="E261" s="7"/>
    </row>
    <row r="262" spans="3:5" ht="13.5">
      <c r="C262" s="72" t="s">
        <v>152</v>
      </c>
      <c r="E262" s="7"/>
    </row>
    <row r="263" ht="12" thickBot="1">
      <c r="F263" s="7"/>
    </row>
    <row r="264" spans="4:9" ht="15" thickBot="1">
      <c r="D264" s="44">
        <f>-G259</f>
        <v>0.5</v>
      </c>
      <c r="E264" s="20" t="s">
        <v>147</v>
      </c>
      <c r="F264" s="48">
        <f>F259</f>
        <v>3</v>
      </c>
      <c r="G264" s="34">
        <f>-1</f>
        <v>-1</v>
      </c>
      <c r="H264" s="24" t="s">
        <v>118</v>
      </c>
      <c r="I264" s="72" t="s">
        <v>153</v>
      </c>
    </row>
    <row r="265" spans="4:8" ht="12" thickBot="1">
      <c r="D265" s="10"/>
      <c r="E265" s="41"/>
      <c r="F265" s="3"/>
      <c r="G265" s="10"/>
      <c r="H265" s="10"/>
    </row>
    <row r="266" spans="3:8" ht="12" thickBot="1">
      <c r="C266" s="1">
        <v>29</v>
      </c>
      <c r="E266" s="44" t="s">
        <v>147</v>
      </c>
      <c r="F266" s="48">
        <f>F264/D264</f>
        <v>6</v>
      </c>
      <c r="G266" s="34">
        <f>G264/D264</f>
        <v>-2</v>
      </c>
      <c r="H266" s="24" t="s">
        <v>118</v>
      </c>
    </row>
    <row r="267" ht="10.5">
      <c r="F267" s="7"/>
    </row>
    <row r="268" spans="3:5" ht="13.5">
      <c r="C268" s="72" t="s">
        <v>154</v>
      </c>
      <c r="E268" s="7"/>
    </row>
    <row r="269" spans="4:6" ht="12" thickBot="1">
      <c r="D269" s="7"/>
      <c r="F269" s="7"/>
    </row>
    <row r="270" spans="4:6" ht="15" thickBot="1">
      <c r="D270" s="49" t="s">
        <v>150</v>
      </c>
      <c r="E270" s="50">
        <f>-(F266-F242)/(G266-G242)</f>
        <v>2</v>
      </c>
      <c r="F270" s="83" t="s">
        <v>155</v>
      </c>
    </row>
    <row r="271" spans="4:6" ht="12" thickBot="1">
      <c r="D271" s="7"/>
      <c r="F271" s="7"/>
    </row>
    <row r="272" spans="4:8" ht="15" thickBot="1">
      <c r="D272" s="49" t="s">
        <v>138</v>
      </c>
      <c r="E272" s="50">
        <f>F242+G242*E270</f>
        <v>2</v>
      </c>
      <c r="F272" s="83" t="s">
        <v>156</v>
      </c>
      <c r="H272" s="86">
        <f>SUM(E270,E272)</f>
        <v>4</v>
      </c>
    </row>
    <row r="273" spans="4:6" ht="10.5">
      <c r="D273" s="51"/>
      <c r="F273" s="7"/>
    </row>
    <row r="274" spans="3:5" ht="15" thickBot="1">
      <c r="C274" s="87" t="s">
        <v>157</v>
      </c>
      <c r="E274" s="7"/>
    </row>
    <row r="275" spans="3:6" ht="15" thickBot="1">
      <c r="C275" s="87" t="s">
        <v>158</v>
      </c>
      <c r="F275" s="53">
        <f>E33+F33*H272</f>
        <v>3</v>
      </c>
    </row>
    <row r="276" spans="4:6" ht="10.5">
      <c r="D276" s="51"/>
      <c r="F276" s="7"/>
    </row>
    <row r="277" spans="3:5" ht="13.5">
      <c r="C277" s="83" t="s">
        <v>159</v>
      </c>
      <c r="E277" s="7"/>
    </row>
    <row r="278" spans="3:5" ht="13.5">
      <c r="C278" s="83" t="s">
        <v>160</v>
      </c>
      <c r="E278" s="7"/>
    </row>
    <row r="279" spans="3:5" ht="13.5">
      <c r="C279" s="83" t="s">
        <v>295</v>
      </c>
      <c r="E279" s="7"/>
    </row>
    <row r="280" spans="4:6" ht="10.5">
      <c r="D280" s="7"/>
      <c r="F280" s="7"/>
    </row>
    <row r="281" spans="4:8" ht="12.75" thickBot="1">
      <c r="D281" s="182" t="s">
        <v>296</v>
      </c>
      <c r="E281" s="18"/>
      <c r="F281" s="7"/>
      <c r="H281" s="131" t="s">
        <v>60</v>
      </c>
    </row>
    <row r="282" spans="3:5" ht="12">
      <c r="C282" s="43" t="s">
        <v>24</v>
      </c>
      <c r="D282" s="2" t="s">
        <v>297</v>
      </c>
      <c r="E282" s="2" t="s">
        <v>298</v>
      </c>
    </row>
    <row r="283" spans="3:5" ht="12">
      <c r="C283" s="61">
        <v>0</v>
      </c>
      <c r="D283" s="54">
        <f>$F$259/ABS($G$259)-2*C283</f>
        <v>6</v>
      </c>
      <c r="E283" s="54">
        <f>$F$242+$G$242*C283</f>
        <v>3</v>
      </c>
    </row>
    <row r="284" spans="3:5" ht="12">
      <c r="C284" s="32">
        <v>1</v>
      </c>
      <c r="D284" s="54">
        <f aca="true" t="shared" si="10" ref="D284:D298">IF(D283&gt;0,D283+(1/$G$259),0)</f>
        <v>4</v>
      </c>
      <c r="E284" s="54">
        <f aca="true" t="shared" si="11" ref="E284:E298">IF(E283&gt;0,E283+$G$242,0)</f>
        <v>2.5</v>
      </c>
    </row>
    <row r="285" spans="3:5" ht="12">
      <c r="C285" s="32">
        <v>2</v>
      </c>
      <c r="D285" s="54">
        <f t="shared" si="10"/>
        <v>2</v>
      </c>
      <c r="E285" s="54">
        <f t="shared" si="11"/>
        <v>2</v>
      </c>
    </row>
    <row r="286" spans="3:5" ht="12">
      <c r="C286" s="32">
        <v>3</v>
      </c>
      <c r="D286" s="54">
        <f t="shared" si="10"/>
        <v>0</v>
      </c>
      <c r="E286" s="54">
        <f t="shared" si="11"/>
        <v>1.5</v>
      </c>
    </row>
    <row r="287" spans="3:5" ht="12">
      <c r="C287" s="32">
        <v>4</v>
      </c>
      <c r="D287" s="54">
        <f t="shared" si="10"/>
        <v>0</v>
      </c>
      <c r="E287" s="54">
        <f t="shared" si="11"/>
        <v>1</v>
      </c>
    </row>
    <row r="288" spans="3:5" ht="12">
      <c r="C288" s="32">
        <v>5</v>
      </c>
      <c r="D288" s="54">
        <f t="shared" si="10"/>
        <v>0</v>
      </c>
      <c r="E288" s="54">
        <f t="shared" si="11"/>
        <v>0.5</v>
      </c>
    </row>
    <row r="289" spans="3:5" ht="12">
      <c r="C289" s="32">
        <v>6</v>
      </c>
      <c r="D289" s="54">
        <f t="shared" si="10"/>
        <v>0</v>
      </c>
      <c r="E289" s="54">
        <f t="shared" si="11"/>
        <v>0</v>
      </c>
    </row>
    <row r="290" spans="3:5" ht="12">
      <c r="C290" s="10">
        <v>7</v>
      </c>
      <c r="D290" s="54">
        <f t="shared" si="10"/>
        <v>0</v>
      </c>
      <c r="E290" s="54">
        <f t="shared" si="11"/>
        <v>0</v>
      </c>
    </row>
    <row r="291" spans="3:5" ht="12">
      <c r="C291" s="10">
        <v>8</v>
      </c>
      <c r="D291" s="54">
        <f t="shared" si="10"/>
        <v>0</v>
      </c>
      <c r="E291" s="54">
        <f t="shared" si="11"/>
        <v>0</v>
      </c>
    </row>
    <row r="292" spans="3:5" ht="12">
      <c r="C292" s="10">
        <v>9</v>
      </c>
      <c r="D292" s="54">
        <f t="shared" si="10"/>
        <v>0</v>
      </c>
      <c r="E292" s="54">
        <f t="shared" si="11"/>
        <v>0</v>
      </c>
    </row>
    <row r="293" spans="3:5" ht="12">
      <c r="C293" s="10">
        <v>10</v>
      </c>
      <c r="D293" s="54">
        <f t="shared" si="10"/>
        <v>0</v>
      </c>
      <c r="E293" s="54">
        <f t="shared" si="11"/>
        <v>0</v>
      </c>
    </row>
    <row r="294" spans="3:6" ht="12">
      <c r="C294" s="32">
        <v>11</v>
      </c>
      <c r="D294" s="54">
        <f t="shared" si="10"/>
        <v>0</v>
      </c>
      <c r="E294" s="54">
        <f t="shared" si="11"/>
        <v>0</v>
      </c>
      <c r="F294" s="7"/>
    </row>
    <row r="295" spans="3:6" ht="12">
      <c r="C295" s="32">
        <v>12</v>
      </c>
      <c r="D295" s="54">
        <f t="shared" si="10"/>
        <v>0</v>
      </c>
      <c r="E295" s="54">
        <f t="shared" si="11"/>
        <v>0</v>
      </c>
      <c r="F295" s="7"/>
    </row>
    <row r="296" spans="3:6" ht="12">
      <c r="C296" s="32">
        <v>13</v>
      </c>
      <c r="D296" s="54">
        <f t="shared" si="10"/>
        <v>0</v>
      </c>
      <c r="E296" s="54">
        <f t="shared" si="11"/>
        <v>0</v>
      </c>
      <c r="F296" s="7"/>
    </row>
    <row r="297" spans="3:6" ht="12">
      <c r="C297" s="32">
        <v>14</v>
      </c>
      <c r="D297" s="54">
        <f t="shared" si="10"/>
        <v>0</v>
      </c>
      <c r="E297" s="54">
        <f t="shared" si="11"/>
        <v>0</v>
      </c>
      <c r="F297" s="7"/>
    </row>
    <row r="298" spans="3:6" ht="12">
      <c r="C298" s="32">
        <v>15</v>
      </c>
      <c r="D298" s="54">
        <f t="shared" si="10"/>
        <v>0</v>
      </c>
      <c r="E298" s="54">
        <f t="shared" si="11"/>
        <v>0</v>
      </c>
      <c r="F298" s="7"/>
    </row>
    <row r="299" spans="4:6" ht="12">
      <c r="D299" s="7"/>
      <c r="F299" s="7"/>
    </row>
    <row r="300" spans="3:6" ht="15" thickBot="1">
      <c r="C300" s="81" t="s">
        <v>299</v>
      </c>
      <c r="D300" s="7"/>
      <c r="F300" s="7"/>
    </row>
    <row r="301" spans="3:13" ht="15" thickBot="1">
      <c r="C301" s="71" t="s">
        <v>300</v>
      </c>
      <c r="D301" s="7"/>
      <c r="F301" s="7"/>
      <c r="K301" s="181">
        <f>E43</f>
        <v>2</v>
      </c>
      <c r="L301" s="72"/>
      <c r="M301" s="72"/>
    </row>
    <row r="302" spans="3:8" ht="15" thickBot="1">
      <c r="C302" s="72" t="s">
        <v>301</v>
      </c>
      <c r="D302" s="7"/>
      <c r="E302" s="7"/>
      <c r="F302" s="7"/>
      <c r="G302" s="7"/>
      <c r="H302" s="181">
        <f>E309</f>
        <v>4</v>
      </c>
    </row>
    <row r="303" spans="3:6" ht="10.5">
      <c r="C303" s="5"/>
      <c r="D303" s="7"/>
      <c r="F303" s="7"/>
    </row>
    <row r="304" spans="4:8" ht="12" thickBot="1">
      <c r="D304" s="7"/>
      <c r="E304" s="6" t="s">
        <v>302</v>
      </c>
      <c r="F304" s="41" t="s">
        <v>24</v>
      </c>
      <c r="G304" s="6" t="s">
        <v>303</v>
      </c>
      <c r="H304" s="10" t="s">
        <v>304</v>
      </c>
    </row>
    <row r="305" spans="3:9" ht="12" thickBot="1">
      <c r="C305" s="1">
        <v>30</v>
      </c>
      <c r="D305" s="49" t="s">
        <v>305</v>
      </c>
      <c r="E305" s="20">
        <f>E35</f>
        <v>5</v>
      </c>
      <c r="F305" s="55">
        <f>H272</f>
        <v>4</v>
      </c>
      <c r="G305" s="20">
        <f>G35</f>
        <v>-0.5</v>
      </c>
      <c r="H305" s="55">
        <f>H272^2</f>
        <v>16</v>
      </c>
      <c r="I305" s="25">
        <f>E305*F305+G305*H305</f>
        <v>12</v>
      </c>
    </row>
    <row r="306" spans="4:6" ht="12" thickBot="1">
      <c r="D306" s="7"/>
      <c r="F306" s="7"/>
    </row>
    <row r="307" spans="3:7" ht="12" thickBot="1">
      <c r="C307" s="1">
        <v>31</v>
      </c>
      <c r="D307" s="56" t="s">
        <v>306</v>
      </c>
      <c r="E307" s="57">
        <f>E39</f>
        <v>2</v>
      </c>
      <c r="F307" s="55">
        <f>H272</f>
        <v>4</v>
      </c>
      <c r="G307" s="25">
        <f>E307*F307</f>
        <v>8</v>
      </c>
    </row>
    <row r="308" spans="4:6" ht="12" thickBot="1">
      <c r="D308" s="7"/>
      <c r="F308" s="7"/>
    </row>
    <row r="309" spans="3:6" ht="12" thickBot="1">
      <c r="C309" s="1">
        <v>32</v>
      </c>
      <c r="D309" s="49" t="s">
        <v>307</v>
      </c>
      <c r="E309" s="26">
        <f>I305-G307</f>
        <v>4</v>
      </c>
      <c r="F309" s="7"/>
    </row>
    <row r="310" spans="4:6" ht="12" thickBot="1">
      <c r="D310" s="7"/>
      <c r="F310" s="7"/>
    </row>
    <row r="311" spans="3:10" ht="15" thickBot="1">
      <c r="C311" s="72" t="s">
        <v>308</v>
      </c>
      <c r="J311" s="181">
        <f>E309/2</f>
        <v>2</v>
      </c>
    </row>
    <row r="312" spans="3:7" ht="13.5">
      <c r="C312" s="72" t="s">
        <v>309</v>
      </c>
      <c r="G312" s="52"/>
    </row>
    <row r="313" spans="3:7" ht="13.5">
      <c r="C313" s="72" t="s">
        <v>310</v>
      </c>
      <c r="G313" s="52"/>
    </row>
    <row r="314" spans="3:7" ht="13.5">
      <c r="C314" s="72"/>
      <c r="G314" s="52"/>
    </row>
    <row r="315" spans="3:7" ht="15" thickBot="1">
      <c r="C315" s="72" t="s">
        <v>311</v>
      </c>
      <c r="G315" s="52"/>
    </row>
    <row r="316" spans="3:13" ht="15" thickBot="1">
      <c r="C316" s="72" t="s">
        <v>312</v>
      </c>
      <c r="G316" s="52"/>
      <c r="H316" s="52"/>
      <c r="I316" s="52"/>
      <c r="J316" s="52"/>
      <c r="K316" s="181">
        <f>G41</f>
        <v>2</v>
      </c>
      <c r="L316" s="72"/>
      <c r="M316" s="72"/>
    </row>
    <row r="317" spans="3:7" ht="13.5">
      <c r="C317" s="72" t="s">
        <v>313</v>
      </c>
      <c r="G317" s="52"/>
    </row>
    <row r="318" spans="3:7" ht="12.75" thickBot="1">
      <c r="C318" s="5"/>
      <c r="F318" s="74" t="s">
        <v>314</v>
      </c>
      <c r="G318" s="52"/>
    </row>
    <row r="319" spans="2:9" ht="12">
      <c r="B319" s="6"/>
      <c r="C319" s="6"/>
      <c r="D319" s="239"/>
      <c r="E319" s="240"/>
      <c r="F319" s="241" t="s">
        <v>315</v>
      </c>
      <c r="G319" s="242"/>
      <c r="H319" s="240"/>
      <c r="I319" s="243"/>
    </row>
    <row r="320" spans="2:9" ht="12.75" thickBot="1">
      <c r="B320" s="6"/>
      <c r="C320" s="6"/>
      <c r="D320" s="244"/>
      <c r="E320" s="245"/>
      <c r="F320" s="246" t="s">
        <v>190</v>
      </c>
      <c r="G320" s="247"/>
      <c r="H320" s="245"/>
      <c r="I320" s="248"/>
    </row>
    <row r="321" spans="2:9" ht="12">
      <c r="B321" s="6"/>
      <c r="C321" s="6"/>
      <c r="D321" s="75" t="s">
        <v>191</v>
      </c>
      <c r="E321" s="90"/>
      <c r="F321" s="90"/>
      <c r="G321" s="90"/>
      <c r="H321" s="82" t="s">
        <v>192</v>
      </c>
      <c r="I321" s="91" t="s">
        <v>193</v>
      </c>
    </row>
    <row r="322" spans="2:9" ht="12.75" thickBot="1">
      <c r="B322" s="6"/>
      <c r="C322" s="6"/>
      <c r="D322" s="102" t="s">
        <v>195</v>
      </c>
      <c r="E322" s="89" t="s">
        <v>196</v>
      </c>
      <c r="F322" s="89" t="s">
        <v>197</v>
      </c>
      <c r="G322" s="89" t="s">
        <v>198</v>
      </c>
      <c r="H322" s="78" t="s">
        <v>199</v>
      </c>
      <c r="I322" s="89" t="s">
        <v>200</v>
      </c>
    </row>
    <row r="323" spans="2:9" ht="9" customHeight="1">
      <c r="B323" s="6"/>
      <c r="C323" s="6"/>
      <c r="D323" s="249">
        <v>1</v>
      </c>
      <c r="E323" s="250">
        <f>E130</f>
        <v>3</v>
      </c>
      <c r="F323" s="251">
        <f>E136</f>
        <v>3.5</v>
      </c>
      <c r="G323" s="251">
        <f>E150</f>
        <v>4.5</v>
      </c>
      <c r="H323" s="252">
        <f>0.5*(F323-$E$43)*($E$159-E323)/$E$182</f>
        <v>0.25</v>
      </c>
      <c r="I323" s="253">
        <f aca="true" t="shared" si="12" ref="I323:I353">1-H323</f>
        <v>0.75</v>
      </c>
    </row>
    <row r="324" spans="2:9" ht="10.5">
      <c r="B324" s="6"/>
      <c r="C324" s="6"/>
      <c r="D324" s="254">
        <v>2</v>
      </c>
      <c r="E324" s="255">
        <f>H272</f>
        <v>4</v>
      </c>
      <c r="F324" s="256">
        <f>F275</f>
        <v>3</v>
      </c>
      <c r="G324" s="256">
        <f>E309</f>
        <v>4</v>
      </c>
      <c r="H324" s="257">
        <f>0.5*(F324-$E$43)*($E$159-E324)/$E$182</f>
        <v>0.1111111111111111</v>
      </c>
      <c r="I324" s="258">
        <f t="shared" si="12"/>
        <v>0.8888888888888888</v>
      </c>
    </row>
    <row r="325" spans="1:9" ht="10.5">
      <c r="A325" s="5"/>
      <c r="C325" s="5"/>
      <c r="D325" s="259">
        <v>3</v>
      </c>
      <c r="E325" s="255">
        <f>1.125*E324</f>
        <v>4.5</v>
      </c>
      <c r="F325" s="256">
        <f aca="true" t="shared" si="13" ref="F325:F353">$E$33+$F$33*E325</f>
        <v>2.75</v>
      </c>
      <c r="G325" s="256">
        <f aca="true" t="shared" si="14" ref="G325:G353">($E$35*E325+$G$35*E325^2)-$E$39*E325</f>
        <v>3.375</v>
      </c>
      <c r="H325" s="257">
        <f>0.5*(F325-$E$43)*($E$159-E325)/$E$182</f>
        <v>0.0625</v>
      </c>
      <c r="I325" s="258">
        <f t="shared" si="12"/>
        <v>0.9375</v>
      </c>
    </row>
    <row r="326" spans="1:9" ht="10.5">
      <c r="A326" s="5"/>
      <c r="C326" s="5"/>
      <c r="D326" s="259">
        <v>4</v>
      </c>
      <c r="E326" s="255">
        <f>1.067*E325</f>
        <v>4.8015</v>
      </c>
      <c r="F326" s="256">
        <f t="shared" si="13"/>
        <v>2.59925</v>
      </c>
      <c r="G326" s="256">
        <f t="shared" si="14"/>
        <v>2.877298875000001</v>
      </c>
      <c r="H326" s="257">
        <f>0.5*(F326-$E$43)*($E$159-E326)/$E$182</f>
        <v>0.03990006250000001</v>
      </c>
      <c r="I326" s="258">
        <f t="shared" si="12"/>
        <v>0.9600999375</v>
      </c>
    </row>
    <row r="327" spans="1:9" ht="10.5">
      <c r="A327" s="5"/>
      <c r="C327" s="5"/>
      <c r="D327" s="259">
        <v>5</v>
      </c>
      <c r="E327" s="255">
        <f>1.041*E326</f>
        <v>4.9983615</v>
      </c>
      <c r="F327" s="256">
        <f t="shared" si="13"/>
        <v>2.50081925</v>
      </c>
      <c r="G327" s="256">
        <f t="shared" si="14"/>
        <v>2.503275657658877</v>
      </c>
      <c r="H327" s="257">
        <f>0.5*(F327-$E$43)*($E$159-E327)/$E$182</f>
        <v>0.02786888013006252</v>
      </c>
      <c r="I327" s="258">
        <f t="shared" si="12"/>
        <v>0.9721311198699375</v>
      </c>
    </row>
    <row r="328" spans="1:9" ht="10.5">
      <c r="A328" s="5"/>
      <c r="C328" s="5"/>
      <c r="D328" s="259">
        <v>6</v>
      </c>
      <c r="E328" s="255">
        <f>1.028*E327</f>
        <v>5.1383156219999995</v>
      </c>
      <c r="F328" s="256">
        <f t="shared" si="13"/>
        <v>2.4308421890000003</v>
      </c>
      <c r="G328" s="256">
        <f t="shared" si="14"/>
        <v>2.2138031503553783</v>
      </c>
      <c r="H328" s="257">
        <f>0.5*(F328-$E$43)*($E$159-E328)/$E$182</f>
        <v>0.020624999091367995</v>
      </c>
      <c r="I328" s="258">
        <f t="shared" si="12"/>
        <v>0.979375000908632</v>
      </c>
    </row>
    <row r="329" spans="1:9" ht="10.5">
      <c r="A329" s="5"/>
      <c r="C329" s="5"/>
      <c r="D329" s="259">
        <v>7</v>
      </c>
      <c r="E329" s="255">
        <f>1.021*E328</f>
        <v>5.246220250061999</v>
      </c>
      <c r="F329" s="256">
        <f t="shared" si="13"/>
        <v>2.3768898749690006</v>
      </c>
      <c r="G329" s="256">
        <f t="shared" si="14"/>
        <v>1.9772472941057053</v>
      </c>
      <c r="H329" s="257">
        <f>0.5*(F329-$E$43)*($E$159-E329)/$E$182</f>
        <v>0.015782886428238767</v>
      </c>
      <c r="I329" s="258">
        <f t="shared" si="12"/>
        <v>0.9842171135717612</v>
      </c>
    </row>
    <row r="330" spans="1:18" ht="10.5">
      <c r="A330" s="5"/>
      <c r="C330" s="5"/>
      <c r="D330" s="259">
        <v>8</v>
      </c>
      <c r="E330" s="255">
        <f>1.0152*E329</f>
        <v>5.325962797862942</v>
      </c>
      <c r="F330" s="256">
        <f t="shared" si="13"/>
        <v>2.337018601068529</v>
      </c>
      <c r="G330" s="256">
        <f t="shared" si="14"/>
        <v>1.7949485314787985</v>
      </c>
      <c r="H330" s="257">
        <f>0.5*(F330-$E$43)*($E$159-E330)/$E$182</f>
        <v>0.012620170829576494</v>
      </c>
      <c r="I330" s="258">
        <f t="shared" si="12"/>
        <v>0.9873798291704236</v>
      </c>
      <c r="R330" s="277" t="s">
        <v>194</v>
      </c>
    </row>
    <row r="331" spans="1:23" ht="10.5">
      <c r="A331" s="38"/>
      <c r="B331" s="38"/>
      <c r="C331" s="38"/>
      <c r="D331" s="259">
        <v>9</v>
      </c>
      <c r="E331" s="255">
        <f>1.013*E330</f>
        <v>5.39520031423516</v>
      </c>
      <c r="F331" s="256">
        <f t="shared" si="13"/>
        <v>2.30239984288242</v>
      </c>
      <c r="G331" s="256">
        <f t="shared" si="14"/>
        <v>1.631507727343898</v>
      </c>
      <c r="H331" s="257">
        <f>0.5*(F331-$E$43)*($E$159-E331)/$E$182</f>
        <v>0.010160629441701378</v>
      </c>
      <c r="I331" s="258">
        <f t="shared" si="12"/>
        <v>0.9898393705582986</v>
      </c>
      <c r="Q331" s="275" t="s">
        <v>201</v>
      </c>
      <c r="R331" s="277" t="s">
        <v>197</v>
      </c>
      <c r="S331" s="277" t="s">
        <v>202</v>
      </c>
      <c r="U331" s="275" t="s">
        <v>201</v>
      </c>
      <c r="V331" s="277" t="s">
        <v>203</v>
      </c>
      <c r="W331" s="58" t="s">
        <v>204</v>
      </c>
    </row>
    <row r="332" spans="1:23" ht="10.5">
      <c r="A332" s="38"/>
      <c r="B332" s="38"/>
      <c r="C332" s="38"/>
      <c r="D332" s="259">
        <v>10</v>
      </c>
      <c r="E332" s="255">
        <f>1.01*E331</f>
        <v>5.449152317377512</v>
      </c>
      <c r="F332" s="256">
        <f t="shared" si="13"/>
        <v>2.275423841311244</v>
      </c>
      <c r="G332" s="256">
        <f t="shared" si="14"/>
        <v>1.5008264631421806</v>
      </c>
      <c r="H332" s="257">
        <f>0.5*(F332-$E$43)*($E$159-E332)/$E$182</f>
        <v>0.008428699151404602</v>
      </c>
      <c r="I332" s="258">
        <f t="shared" si="12"/>
        <v>0.9915713008485953</v>
      </c>
      <c r="Q332" s="276">
        <f aca="true" t="shared" si="15" ref="Q332:Q356">D323</f>
        <v>1</v>
      </c>
      <c r="R332" s="278">
        <f aca="true" t="shared" si="16" ref="R332:R356">F323</f>
        <v>3.5</v>
      </c>
      <c r="S332" s="278">
        <f aca="true" t="shared" si="17" ref="S332:S356">G323</f>
        <v>4.5</v>
      </c>
      <c r="U332" s="276">
        <v>1</v>
      </c>
      <c r="V332" s="281">
        <f aca="true" t="shared" si="18" ref="V332:V356">H323</f>
        <v>0.25</v>
      </c>
      <c r="W332" s="59">
        <f aca="true" t="shared" si="19" ref="W332:W356">I323</f>
        <v>0.75</v>
      </c>
    </row>
    <row r="333" spans="1:23" ht="10.5">
      <c r="A333" s="38"/>
      <c r="B333" s="38"/>
      <c r="C333" s="38"/>
      <c r="D333" s="259">
        <v>11</v>
      </c>
      <c r="E333" s="255">
        <f>1.009*E332</f>
        <v>5.498194688233909</v>
      </c>
      <c r="F333" s="256">
        <f t="shared" si="13"/>
        <v>2.2509026558830456</v>
      </c>
      <c r="G333" s="256">
        <f t="shared" si="14"/>
        <v>1.379511649839941</v>
      </c>
      <c r="H333" s="257">
        <f>0.5*(F333-$E$43)*($E$159-E333)/$E$182</f>
        <v>0.00699468252546289</v>
      </c>
      <c r="I333" s="258">
        <f t="shared" si="12"/>
        <v>0.9930053174745371</v>
      </c>
      <c r="Q333" s="276">
        <f t="shared" si="15"/>
        <v>2</v>
      </c>
      <c r="R333" s="278">
        <f t="shared" si="16"/>
        <v>3</v>
      </c>
      <c r="S333" s="278">
        <f t="shared" si="17"/>
        <v>4</v>
      </c>
      <c r="U333" s="276">
        <v>2</v>
      </c>
      <c r="V333" s="281">
        <f t="shared" si="18"/>
        <v>0.1111111111111111</v>
      </c>
      <c r="W333" s="59">
        <f t="shared" si="19"/>
        <v>0.8888888888888888</v>
      </c>
    </row>
    <row r="334" spans="1:23" ht="10.5">
      <c r="A334" s="38"/>
      <c r="B334" s="38"/>
      <c r="C334" s="38"/>
      <c r="D334" s="259">
        <v>12</v>
      </c>
      <c r="E334" s="255">
        <f>1.007*E333</f>
        <v>5.536682051051546</v>
      </c>
      <c r="F334" s="256">
        <f t="shared" si="13"/>
        <v>2.231658974474227</v>
      </c>
      <c r="G334" s="256">
        <f t="shared" si="14"/>
        <v>1.2826220859364614</v>
      </c>
      <c r="H334" s="257">
        <f>0.5*(F334-$E$43)*($E$159-E334)/$E$182</f>
        <v>0.005962875606050062</v>
      </c>
      <c r="I334" s="258">
        <f t="shared" si="12"/>
        <v>0.99403712439395</v>
      </c>
      <c r="Q334" s="276">
        <f t="shared" si="15"/>
        <v>3</v>
      </c>
      <c r="R334" s="278">
        <f t="shared" si="16"/>
        <v>2.75</v>
      </c>
      <c r="S334" s="278">
        <f t="shared" si="17"/>
        <v>3.375</v>
      </c>
      <c r="U334" s="276">
        <v>3</v>
      </c>
      <c r="V334" s="281">
        <f t="shared" si="18"/>
        <v>0.0625</v>
      </c>
      <c r="W334" s="59">
        <f t="shared" si="19"/>
        <v>0.9375</v>
      </c>
    </row>
    <row r="335" spans="1:23" ht="10.5">
      <c r="A335" s="38"/>
      <c r="B335" s="38"/>
      <c r="C335" s="38"/>
      <c r="D335" s="259">
        <v>13</v>
      </c>
      <c r="E335" s="255">
        <f>1.0069*E334</f>
        <v>5.574885157203801</v>
      </c>
      <c r="F335" s="256">
        <f t="shared" si="13"/>
        <v>2.2125574213980994</v>
      </c>
      <c r="G335" s="256">
        <f t="shared" si="14"/>
        <v>1.1849832136057792</v>
      </c>
      <c r="H335" s="257">
        <f>0.5*(F335-$E$43)*($E$159-E335)/$E$182</f>
        <v>0.005020073043489912</v>
      </c>
      <c r="I335" s="258">
        <f t="shared" si="12"/>
        <v>0.99497992695651</v>
      </c>
      <c r="Q335" s="276">
        <f t="shared" si="15"/>
        <v>4</v>
      </c>
      <c r="R335" s="278">
        <f t="shared" si="16"/>
        <v>2.59925</v>
      </c>
      <c r="S335" s="278">
        <f t="shared" si="17"/>
        <v>2.877298875000001</v>
      </c>
      <c r="U335" s="276">
        <v>4</v>
      </c>
      <c r="V335" s="281">
        <f t="shared" si="18"/>
        <v>0.03990006250000001</v>
      </c>
      <c r="W335" s="59">
        <f t="shared" si="19"/>
        <v>0.9600999375</v>
      </c>
    </row>
    <row r="336" spans="1:23" ht="10.5">
      <c r="A336" s="38"/>
      <c r="B336" s="38"/>
      <c r="C336" s="38"/>
      <c r="D336" s="259">
        <v>14</v>
      </c>
      <c r="E336" s="255">
        <f>1.005*E335</f>
        <v>5.60275958298982</v>
      </c>
      <c r="F336" s="256">
        <f t="shared" si="13"/>
        <v>2.19862020850509</v>
      </c>
      <c r="G336" s="256">
        <f t="shared" si="14"/>
        <v>1.1128212765773284</v>
      </c>
      <c r="H336" s="257">
        <f>0.5*(F336-$E$43)*($E$159-E336)/$E$182</f>
        <v>0.004383331914067274</v>
      </c>
      <c r="I336" s="258">
        <f t="shared" si="12"/>
        <v>0.9956166680859327</v>
      </c>
      <c r="Q336" s="276">
        <f t="shared" si="15"/>
        <v>5</v>
      </c>
      <c r="R336" s="278">
        <f t="shared" si="16"/>
        <v>2.50081925</v>
      </c>
      <c r="S336" s="278">
        <f t="shared" si="17"/>
        <v>2.503275657658877</v>
      </c>
      <c r="U336" s="276">
        <v>5</v>
      </c>
      <c r="V336" s="281">
        <f t="shared" si="18"/>
        <v>0.02786888013006252</v>
      </c>
      <c r="W336" s="59">
        <f t="shared" si="19"/>
        <v>0.9721311198699375</v>
      </c>
    </row>
    <row r="337" spans="1:23" ht="10.5">
      <c r="A337" s="38"/>
      <c r="B337" s="38"/>
      <c r="C337" s="38"/>
      <c r="D337" s="259">
        <v>15</v>
      </c>
      <c r="E337" s="255">
        <f>1.005*E336</f>
        <v>5.630773380904769</v>
      </c>
      <c r="F337" s="256">
        <f t="shared" si="13"/>
        <v>2.1846133095476157</v>
      </c>
      <c r="G337" s="256">
        <f t="shared" si="14"/>
        <v>1.0395157091614475</v>
      </c>
      <c r="H337" s="257">
        <f>0.5*(F337-$E$43)*($E$159-E337)/$E$182</f>
        <v>0.003786897118013752</v>
      </c>
      <c r="I337" s="258">
        <f t="shared" si="12"/>
        <v>0.9962131028819863</v>
      </c>
      <c r="Q337" s="276">
        <f t="shared" si="15"/>
        <v>6</v>
      </c>
      <c r="R337" s="278">
        <f t="shared" si="16"/>
        <v>2.4308421890000003</v>
      </c>
      <c r="S337" s="278">
        <f t="shared" si="17"/>
        <v>2.2138031503553783</v>
      </c>
      <c r="U337" s="276">
        <v>6</v>
      </c>
      <c r="V337" s="281">
        <f t="shared" si="18"/>
        <v>0.020624999091367995</v>
      </c>
      <c r="W337" s="59">
        <f t="shared" si="19"/>
        <v>0.979375000908632</v>
      </c>
    </row>
    <row r="338" spans="1:23" ht="10.5">
      <c r="A338" s="38"/>
      <c r="B338" s="38"/>
      <c r="C338" s="38"/>
      <c r="D338" s="259">
        <v>16</v>
      </c>
      <c r="E338" s="255">
        <f>1.0035*E337</f>
        <v>5.650481087737935</v>
      </c>
      <c r="F338" s="256">
        <f t="shared" si="13"/>
        <v>2.1747594561310324</v>
      </c>
      <c r="G338" s="256">
        <f t="shared" si="14"/>
        <v>0.9874750017717684</v>
      </c>
      <c r="H338" s="257">
        <f>0.5*(F338-$E$43)*($E$159-E338)/$E$182</f>
        <v>0.0033934297230238035</v>
      </c>
      <c r="I338" s="258">
        <f t="shared" si="12"/>
        <v>0.9966065702769762</v>
      </c>
      <c r="Q338" s="276">
        <f t="shared" si="15"/>
        <v>7</v>
      </c>
      <c r="R338" s="278">
        <f t="shared" si="16"/>
        <v>2.3768898749690006</v>
      </c>
      <c r="S338" s="278">
        <f t="shared" si="17"/>
        <v>1.9772472941057053</v>
      </c>
      <c r="U338" s="276">
        <v>7</v>
      </c>
      <c r="V338" s="281">
        <f t="shared" si="18"/>
        <v>0.015782886428238767</v>
      </c>
      <c r="W338" s="59">
        <f t="shared" si="19"/>
        <v>0.9842171135717612</v>
      </c>
    </row>
    <row r="339" spans="1:23" ht="10.5">
      <c r="A339" s="38"/>
      <c r="B339" s="38"/>
      <c r="C339" s="38"/>
      <c r="D339" s="259">
        <v>17</v>
      </c>
      <c r="E339" s="255">
        <f>1.004*E338</f>
        <v>5.673083012088887</v>
      </c>
      <c r="F339" s="256">
        <f t="shared" si="13"/>
        <v>2.1634584939555563</v>
      </c>
      <c r="G339" s="256">
        <f t="shared" si="14"/>
        <v>0.9273136052409026</v>
      </c>
      <c r="H339" s="257">
        <f>0.5*(F339-$E$43)*($E$159-E339)/$E$182</f>
        <v>0.0029687421384687386</v>
      </c>
      <c r="I339" s="258">
        <f t="shared" si="12"/>
        <v>0.9970312578615312</v>
      </c>
      <c r="Q339" s="276">
        <f t="shared" si="15"/>
        <v>8</v>
      </c>
      <c r="R339" s="278">
        <f t="shared" si="16"/>
        <v>2.337018601068529</v>
      </c>
      <c r="S339" s="278">
        <f t="shared" si="17"/>
        <v>1.7949485314787985</v>
      </c>
      <c r="U339" s="276">
        <v>8</v>
      </c>
      <c r="V339" s="281">
        <f t="shared" si="18"/>
        <v>0.012620170829576494</v>
      </c>
      <c r="W339" s="59">
        <f t="shared" si="19"/>
        <v>0.9873798291704236</v>
      </c>
    </row>
    <row r="340" spans="1:23" ht="10.5">
      <c r="A340" s="38"/>
      <c r="B340" s="38"/>
      <c r="C340" s="38"/>
      <c r="D340" s="259">
        <v>18</v>
      </c>
      <c r="E340" s="255">
        <f>1.00138*E339</f>
        <v>5.68091186664557</v>
      </c>
      <c r="F340" s="256">
        <f t="shared" si="13"/>
        <v>2.159544066677215</v>
      </c>
      <c r="G340" s="256">
        <f t="shared" si="14"/>
        <v>0.9063557816394834</v>
      </c>
      <c r="H340" s="257">
        <f>0.5*(F340-$E$43)*($E$159-E340)/$E$182</f>
        <v>0.0028282565791004103</v>
      </c>
      <c r="I340" s="258">
        <f t="shared" si="12"/>
        <v>0.9971717434208995</v>
      </c>
      <c r="Q340" s="276">
        <f t="shared" si="15"/>
        <v>9</v>
      </c>
      <c r="R340" s="278">
        <f t="shared" si="16"/>
        <v>2.30239984288242</v>
      </c>
      <c r="S340" s="278">
        <f t="shared" si="17"/>
        <v>1.631507727343898</v>
      </c>
      <c r="U340" s="276">
        <v>9</v>
      </c>
      <c r="V340" s="281">
        <f t="shared" si="18"/>
        <v>0.010160629441701378</v>
      </c>
      <c r="W340" s="59">
        <f t="shared" si="19"/>
        <v>0.9898393705582986</v>
      </c>
    </row>
    <row r="341" spans="1:23" ht="10.5">
      <c r="A341" s="38"/>
      <c r="B341" s="38"/>
      <c r="C341" s="38"/>
      <c r="D341" s="259">
        <v>19</v>
      </c>
      <c r="E341" s="255">
        <f>1.004*E340</f>
        <v>5.703635514112152</v>
      </c>
      <c r="F341" s="256">
        <f t="shared" si="13"/>
        <v>2.148182242943924</v>
      </c>
      <c r="G341" s="256">
        <f t="shared" si="14"/>
        <v>0.8451775034157585</v>
      </c>
      <c r="H341" s="257">
        <f>0.5*(F341-$E$43)*($E$159-E341)/$E$182</f>
        <v>0.0024397752359880094</v>
      </c>
      <c r="I341" s="258">
        <f t="shared" si="12"/>
        <v>0.997560224764012</v>
      </c>
      <c r="Q341" s="276">
        <f t="shared" si="15"/>
        <v>10</v>
      </c>
      <c r="R341" s="278">
        <f t="shared" si="16"/>
        <v>2.275423841311244</v>
      </c>
      <c r="S341" s="278">
        <f t="shared" si="17"/>
        <v>1.5008264631421806</v>
      </c>
      <c r="U341" s="276">
        <v>10</v>
      </c>
      <c r="V341" s="281">
        <f t="shared" si="18"/>
        <v>0.008428699151404602</v>
      </c>
      <c r="W341" s="59">
        <f t="shared" si="19"/>
        <v>0.9915713008485953</v>
      </c>
    </row>
    <row r="342" spans="1:23" ht="10.5">
      <c r="A342" s="38"/>
      <c r="B342" s="38"/>
      <c r="C342" s="38"/>
      <c r="D342" s="259">
        <v>20</v>
      </c>
      <c r="E342" s="255">
        <f>1.001144*E341</f>
        <v>5.710160473140297</v>
      </c>
      <c r="F342" s="256">
        <f t="shared" si="13"/>
        <v>2.1449197634298516</v>
      </c>
      <c r="G342" s="256">
        <f t="shared" si="14"/>
        <v>0.8275151049139815</v>
      </c>
      <c r="H342" s="257">
        <f>0.5*(F342-$E$43)*($E$159-E342)/$E$182</f>
        <v>0.002333526425840461</v>
      </c>
      <c r="I342" s="258">
        <f t="shared" si="12"/>
        <v>0.9976664735741595</v>
      </c>
      <c r="Q342" s="276">
        <f t="shared" si="15"/>
        <v>11</v>
      </c>
      <c r="R342" s="278">
        <f t="shared" si="16"/>
        <v>2.2509026558830456</v>
      </c>
      <c r="S342" s="278">
        <f t="shared" si="17"/>
        <v>1.379511649839941</v>
      </c>
      <c r="U342" s="276">
        <v>11</v>
      </c>
      <c r="V342" s="281">
        <f t="shared" si="18"/>
        <v>0.00699468252546289</v>
      </c>
      <c r="W342" s="59">
        <f t="shared" si="19"/>
        <v>0.9930053174745371</v>
      </c>
    </row>
    <row r="343" spans="1:23" ht="10.5">
      <c r="A343" s="60"/>
      <c r="B343" s="60"/>
      <c r="C343" s="60"/>
      <c r="D343" s="259">
        <v>21</v>
      </c>
      <c r="E343" s="255">
        <f>1.003503*E342</f>
        <v>5.730163165277707</v>
      </c>
      <c r="F343" s="256">
        <f t="shared" si="13"/>
        <v>2.1349184173611464</v>
      </c>
      <c r="G343" s="256">
        <f t="shared" si="14"/>
        <v>0.7731045454804075</v>
      </c>
      <c r="H343" s="257">
        <f>0.5*(F343-$E$43)*($E$159-E343)/$E$182</f>
        <v>0.0020225532603596105</v>
      </c>
      <c r="I343" s="258">
        <f t="shared" si="12"/>
        <v>0.9979774467396404</v>
      </c>
      <c r="Q343" s="276">
        <f t="shared" si="15"/>
        <v>12</v>
      </c>
      <c r="R343" s="278">
        <f t="shared" si="16"/>
        <v>2.231658974474227</v>
      </c>
      <c r="S343" s="278">
        <f t="shared" si="17"/>
        <v>1.2826220859364614</v>
      </c>
      <c r="U343" s="276">
        <v>12</v>
      </c>
      <c r="V343" s="281">
        <f t="shared" si="18"/>
        <v>0.005962875606050062</v>
      </c>
      <c r="W343" s="59">
        <f t="shared" si="19"/>
        <v>0.99403712439395</v>
      </c>
    </row>
    <row r="344" spans="1:23" ht="10.5">
      <c r="A344" s="60"/>
      <c r="B344" s="60"/>
      <c r="C344" s="60"/>
      <c r="D344" s="259">
        <v>22</v>
      </c>
      <c r="E344" s="255">
        <f>1.001745*E343</f>
        <v>5.740162300001117</v>
      </c>
      <c r="F344" s="256">
        <f t="shared" si="13"/>
        <v>2.1299188499994415</v>
      </c>
      <c r="G344" s="256">
        <f t="shared" si="14"/>
        <v>0.7457552848262949</v>
      </c>
      <c r="H344" s="257">
        <f>0.5*(F344-$E$43)*($E$159-E344)/$E$182</f>
        <v>0.0018754341761308194</v>
      </c>
      <c r="I344" s="258">
        <f t="shared" si="12"/>
        <v>0.9981245658238692</v>
      </c>
      <c r="Q344" s="276">
        <f t="shared" si="15"/>
        <v>13</v>
      </c>
      <c r="R344" s="278">
        <f t="shared" si="16"/>
        <v>2.2125574213980994</v>
      </c>
      <c r="S344" s="278">
        <f t="shared" si="17"/>
        <v>1.1849832136057792</v>
      </c>
      <c r="U344" s="276">
        <v>13</v>
      </c>
      <c r="V344" s="281">
        <f t="shared" si="18"/>
        <v>0.005020073043489912</v>
      </c>
      <c r="W344" s="59">
        <f t="shared" si="19"/>
        <v>0.99497992695651</v>
      </c>
    </row>
    <row r="345" spans="1:23" ht="10.5">
      <c r="A345" s="60"/>
      <c r="B345" s="60"/>
      <c r="C345" s="60"/>
      <c r="D345" s="259">
        <v>23</v>
      </c>
      <c r="E345" s="255">
        <f>1.001742*E344</f>
        <v>5.750161662727718</v>
      </c>
      <c r="F345" s="256">
        <f t="shared" si="13"/>
        <v>2.124919168636141</v>
      </c>
      <c r="G345" s="256">
        <f t="shared" si="14"/>
        <v>0.7183054144313559</v>
      </c>
      <c r="H345" s="257">
        <f>0.5*(F345-$E$43)*($E$159-E345)/$E$182</f>
        <v>0.0017338665214160656</v>
      </c>
      <c r="I345" s="258">
        <f t="shared" si="12"/>
        <v>0.998266133478584</v>
      </c>
      <c r="Q345" s="276">
        <f t="shared" si="15"/>
        <v>14</v>
      </c>
      <c r="R345" s="278">
        <f t="shared" si="16"/>
        <v>2.19862020850509</v>
      </c>
      <c r="S345" s="278">
        <f t="shared" si="17"/>
        <v>1.1128212765773284</v>
      </c>
      <c r="U345" s="276">
        <v>14</v>
      </c>
      <c r="V345" s="281">
        <f t="shared" si="18"/>
        <v>0.004383331914067274</v>
      </c>
      <c r="W345" s="59">
        <f t="shared" si="19"/>
        <v>0.9956166680859327</v>
      </c>
    </row>
    <row r="346" spans="1:23" ht="10.5">
      <c r="A346" s="60"/>
      <c r="B346" s="60"/>
      <c r="C346" s="60"/>
      <c r="D346" s="259">
        <v>24</v>
      </c>
      <c r="E346" s="255">
        <f>1.001739*E345</f>
        <v>5.760161193859202</v>
      </c>
      <c r="F346" s="256">
        <f t="shared" si="13"/>
        <v>2.119919403070399</v>
      </c>
      <c r="G346" s="256">
        <f t="shared" si="14"/>
        <v>0.6907550919568717</v>
      </c>
      <c r="H346" s="257">
        <f>0.5*(F346-$E$43)*($E$159-E346)/$E$182</f>
        <v>0.0015978514703067622</v>
      </c>
      <c r="I346" s="258">
        <f t="shared" si="12"/>
        <v>0.9984021485296932</v>
      </c>
      <c r="Q346" s="276">
        <f t="shared" si="15"/>
        <v>15</v>
      </c>
      <c r="R346" s="278">
        <f t="shared" si="16"/>
        <v>2.1846133095476157</v>
      </c>
      <c r="S346" s="278">
        <f t="shared" si="17"/>
        <v>1.0395157091614475</v>
      </c>
      <c r="U346" s="276">
        <v>15</v>
      </c>
      <c r="V346" s="281">
        <f t="shared" si="18"/>
        <v>0.003786897118013752</v>
      </c>
      <c r="W346" s="59">
        <f t="shared" si="19"/>
        <v>0.9962131028819863</v>
      </c>
    </row>
    <row r="347" spans="1:23" ht="10.5">
      <c r="A347" s="60"/>
      <c r="B347" s="60"/>
      <c r="C347" s="60"/>
      <c r="D347" s="259">
        <v>25</v>
      </c>
      <c r="E347" s="255">
        <f>1.001736*E346</f>
        <v>5.770160833691741</v>
      </c>
      <c r="F347" s="256">
        <f t="shared" si="13"/>
        <v>2.1149195831541294</v>
      </c>
      <c r="G347" s="256">
        <f t="shared" si="14"/>
        <v>0.6631044777401396</v>
      </c>
      <c r="H347" s="257">
        <f>0.5*(F347-$E$43)*($E$159-E347)/$E$182</f>
        <v>0.0014673900658132074</v>
      </c>
      <c r="I347" s="258">
        <f t="shared" si="12"/>
        <v>0.9985326099341868</v>
      </c>
      <c r="Q347" s="276">
        <f t="shared" si="15"/>
        <v>16</v>
      </c>
      <c r="R347" s="278">
        <f t="shared" si="16"/>
        <v>2.1747594561310324</v>
      </c>
      <c r="S347" s="278">
        <f t="shared" si="17"/>
        <v>0.9874750017717684</v>
      </c>
      <c r="U347" s="276">
        <v>16</v>
      </c>
      <c r="V347" s="281">
        <f t="shared" si="18"/>
        <v>0.0033934297230238035</v>
      </c>
      <c r="W347" s="59">
        <f t="shared" si="19"/>
        <v>0.9966065702769762</v>
      </c>
    </row>
    <row r="348" spans="1:23" ht="10.5">
      <c r="A348" s="60"/>
      <c r="B348" s="60"/>
      <c r="C348" s="60"/>
      <c r="D348" s="259">
        <v>50</v>
      </c>
      <c r="E348" s="255">
        <f>1.019064*E347</f>
        <v>5.8801631798252405</v>
      </c>
      <c r="F348" s="256">
        <f t="shared" si="13"/>
        <v>2.0599184100873797</v>
      </c>
      <c r="G348" s="256">
        <f t="shared" si="14"/>
        <v>0.3523300287894777</v>
      </c>
      <c r="H348" s="257">
        <f>0.5*(F348-$E$43)*($E$159-E348)/$E$182</f>
        <v>0.0003989128741554901</v>
      </c>
      <c r="I348" s="258">
        <f t="shared" si="12"/>
        <v>0.9996010871258445</v>
      </c>
      <c r="Q348" s="276">
        <f t="shared" si="15"/>
        <v>17</v>
      </c>
      <c r="R348" s="278">
        <f t="shared" si="16"/>
        <v>2.1634584939555563</v>
      </c>
      <c r="S348" s="278">
        <f t="shared" si="17"/>
        <v>0.9273136052409026</v>
      </c>
      <c r="U348" s="276">
        <v>17</v>
      </c>
      <c r="V348" s="281">
        <f t="shared" si="18"/>
        <v>0.0029687421384687386</v>
      </c>
      <c r="W348" s="59">
        <f t="shared" si="19"/>
        <v>0.9970312578615312</v>
      </c>
    </row>
    <row r="349" spans="1:23" ht="10.5">
      <c r="A349" s="60"/>
      <c r="B349" s="60"/>
      <c r="C349" s="60"/>
      <c r="D349" s="259">
        <v>100</v>
      </c>
      <c r="E349" s="255">
        <f>1.010204*E348</f>
        <v>5.940164364912178</v>
      </c>
      <c r="F349" s="256">
        <f t="shared" si="13"/>
        <v>2.029917817543911</v>
      </c>
      <c r="G349" s="256">
        <f t="shared" si="14"/>
        <v>0.17771675365028372</v>
      </c>
      <c r="H349" s="257">
        <f>0.5*(F349-$E$43)*($E$159-E349)/$E$182</f>
        <v>9.9452867398972E-05</v>
      </c>
      <c r="I349" s="258">
        <f t="shared" si="12"/>
        <v>0.999900547132601</v>
      </c>
      <c r="Q349" s="276">
        <f t="shared" si="15"/>
        <v>18</v>
      </c>
      <c r="R349" s="278">
        <f t="shared" si="16"/>
        <v>2.159544066677215</v>
      </c>
      <c r="S349" s="278">
        <f t="shared" si="17"/>
        <v>0.9063557816394834</v>
      </c>
      <c r="U349" s="276">
        <v>18</v>
      </c>
      <c r="V349" s="281">
        <f t="shared" si="18"/>
        <v>0.0028282565791004103</v>
      </c>
      <c r="W349" s="59">
        <f t="shared" si="19"/>
        <v>0.9971717434208995</v>
      </c>
    </row>
    <row r="350" spans="1:23" ht="10.5">
      <c r="A350" s="60"/>
      <c r="B350" s="60"/>
      <c r="C350" s="60"/>
      <c r="D350" s="259">
        <v>200</v>
      </c>
      <c r="E350" s="255">
        <f>1.005051*E349</f>
        <v>5.970168135119349</v>
      </c>
      <c r="F350" s="256">
        <f t="shared" si="13"/>
        <v>2.0149159324403256</v>
      </c>
      <c r="G350" s="256">
        <f t="shared" si="14"/>
        <v>0.08905062456082469</v>
      </c>
      <c r="H350" s="257">
        <f>0.5*(F350-$E$43)*($E$159-E350)/$E$182</f>
        <v>2.4720560062706502E-05</v>
      </c>
      <c r="I350" s="258">
        <f t="shared" si="12"/>
        <v>0.9999752794399372</v>
      </c>
      <c r="Q350" s="276">
        <f t="shared" si="15"/>
        <v>19</v>
      </c>
      <c r="R350" s="278">
        <f t="shared" si="16"/>
        <v>2.148182242943924</v>
      </c>
      <c r="S350" s="278">
        <f t="shared" si="17"/>
        <v>0.8451775034157585</v>
      </c>
      <c r="U350" s="276">
        <v>19</v>
      </c>
      <c r="V350" s="281">
        <f t="shared" si="18"/>
        <v>0.0024397752359880094</v>
      </c>
      <c r="W350" s="59">
        <f t="shared" si="19"/>
        <v>0.997560224764012</v>
      </c>
    </row>
    <row r="351" spans="1:23" ht="10.5">
      <c r="A351" s="60"/>
      <c r="B351" s="60"/>
      <c r="C351" s="60"/>
      <c r="D351" s="259">
        <v>400</v>
      </c>
      <c r="E351" s="255">
        <f>1.001675*E350</f>
        <v>5.980168166745674</v>
      </c>
      <c r="F351" s="256">
        <f t="shared" si="13"/>
        <v>2.009915916627163</v>
      </c>
      <c r="G351" s="256">
        <f t="shared" si="14"/>
        <v>0.059298848957862305</v>
      </c>
      <c r="H351" s="257">
        <f>0.5*(F351-$E$43)*($E$159-E351)/$E$182</f>
        <v>1.0925044728538533E-05</v>
      </c>
      <c r="I351" s="258">
        <f t="shared" si="12"/>
        <v>0.9999890749552715</v>
      </c>
      <c r="Q351" s="276">
        <f t="shared" si="15"/>
        <v>20</v>
      </c>
      <c r="R351" s="278">
        <f t="shared" si="16"/>
        <v>2.1449197634298516</v>
      </c>
      <c r="S351" s="278">
        <f t="shared" si="17"/>
        <v>0.8275151049139815</v>
      </c>
      <c r="U351" s="276">
        <v>20</v>
      </c>
      <c r="V351" s="281">
        <f t="shared" si="18"/>
        <v>0.002333526425840461</v>
      </c>
      <c r="W351" s="59">
        <f t="shared" si="19"/>
        <v>0.9976664735741595</v>
      </c>
    </row>
    <row r="352" spans="1:23" ht="10.5">
      <c r="A352" s="60"/>
      <c r="B352" s="60"/>
      <c r="C352" s="60"/>
      <c r="D352" s="259">
        <v>800</v>
      </c>
      <c r="E352" s="255">
        <f>1.001672*E351</f>
        <v>5.990167007920472</v>
      </c>
      <c r="F352" s="256">
        <f t="shared" si="13"/>
        <v>2.004916496039764</v>
      </c>
      <c r="G352" s="256">
        <f t="shared" si="14"/>
        <v>0.02945063237196699</v>
      </c>
      <c r="H352" s="257">
        <f>0.5*(F352-$E$43)*($E$159-E352)/$E$182</f>
        <v>2.6857703676684237E-06</v>
      </c>
      <c r="I352" s="258">
        <f t="shared" si="12"/>
        <v>0.9999973142296323</v>
      </c>
      <c r="Q352" s="276">
        <f t="shared" si="15"/>
        <v>21</v>
      </c>
      <c r="R352" s="278">
        <f t="shared" si="16"/>
        <v>2.1349184173611464</v>
      </c>
      <c r="S352" s="278">
        <f t="shared" si="17"/>
        <v>0.7731045454804075</v>
      </c>
      <c r="U352" s="276">
        <v>21</v>
      </c>
      <c r="V352" s="281">
        <f t="shared" si="18"/>
        <v>0.0020225532603596105</v>
      </c>
      <c r="W352" s="59">
        <f t="shared" si="19"/>
        <v>0.9979774467396404</v>
      </c>
    </row>
    <row r="353" spans="1:23" ht="12" thickBot="1">
      <c r="A353" s="60"/>
      <c r="B353" s="60"/>
      <c r="C353" s="60"/>
      <c r="D353" s="260">
        <v>1600</v>
      </c>
      <c r="E353" s="261">
        <f>1*E352</f>
        <v>5.990167007920472</v>
      </c>
      <c r="F353" s="262">
        <f t="shared" si="13"/>
        <v>2.004916496039764</v>
      </c>
      <c r="G353" s="262">
        <f t="shared" si="14"/>
        <v>0.02945063237196699</v>
      </c>
      <c r="H353" s="263">
        <f>0.5*(F353-$E$43)*($E$159-E353)/$E$182</f>
        <v>2.6857703676684237E-06</v>
      </c>
      <c r="I353" s="264">
        <f t="shared" si="12"/>
        <v>0.9999973142296323</v>
      </c>
      <c r="Q353" s="276">
        <f t="shared" si="15"/>
        <v>22</v>
      </c>
      <c r="R353" s="278">
        <f t="shared" si="16"/>
        <v>2.1299188499994415</v>
      </c>
      <c r="S353" s="278">
        <f t="shared" si="17"/>
        <v>0.7457552848262949</v>
      </c>
      <c r="U353" s="276">
        <v>22</v>
      </c>
      <c r="V353" s="281">
        <f t="shared" si="18"/>
        <v>0.0018754341761308194</v>
      </c>
      <c r="W353" s="59">
        <f t="shared" si="19"/>
        <v>0.9981245658238692</v>
      </c>
    </row>
    <row r="354" spans="1:23" ht="12">
      <c r="A354" s="38"/>
      <c r="E354" s="131" t="s">
        <v>61</v>
      </c>
      <c r="I354" s="131" t="s">
        <v>62</v>
      </c>
      <c r="Q354" s="276">
        <f t="shared" si="15"/>
        <v>23</v>
      </c>
      <c r="R354" s="278">
        <f t="shared" si="16"/>
        <v>2.124919168636141</v>
      </c>
      <c r="S354" s="278">
        <f t="shared" si="17"/>
        <v>0.7183054144313559</v>
      </c>
      <c r="U354" s="276">
        <v>23</v>
      </c>
      <c r="V354" s="281">
        <f t="shared" si="18"/>
        <v>0.0017338665214160656</v>
      </c>
      <c r="W354" s="59">
        <f t="shared" si="19"/>
        <v>0.998266133478584</v>
      </c>
    </row>
    <row r="355" spans="17:23" ht="12">
      <c r="Q355" s="276">
        <f t="shared" si="15"/>
        <v>24</v>
      </c>
      <c r="R355" s="278">
        <f t="shared" si="16"/>
        <v>2.119919403070399</v>
      </c>
      <c r="S355" s="278">
        <f t="shared" si="17"/>
        <v>0.6907550919568717</v>
      </c>
      <c r="U355" s="276">
        <v>24</v>
      </c>
      <c r="V355" s="281">
        <f t="shared" si="18"/>
        <v>0.0015978514703067622</v>
      </c>
      <c r="W355" s="59">
        <f t="shared" si="19"/>
        <v>0.9984021485296932</v>
      </c>
    </row>
    <row r="356" spans="17:23" ht="12">
      <c r="Q356" s="276">
        <f t="shared" si="15"/>
        <v>25</v>
      </c>
      <c r="R356" s="278">
        <f t="shared" si="16"/>
        <v>2.1149195831541294</v>
      </c>
      <c r="S356" s="278">
        <f t="shared" si="17"/>
        <v>0.6631044777401396</v>
      </c>
      <c r="U356" s="276">
        <v>25</v>
      </c>
      <c r="V356" s="281">
        <f t="shared" si="18"/>
        <v>0.0014673900658132074</v>
      </c>
      <c r="W356" s="59">
        <f t="shared" si="19"/>
        <v>0.9985326099341868</v>
      </c>
    </row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3.5">
      <c r="C380" s="71" t="s">
        <v>205</v>
      </c>
    </row>
    <row r="381" ht="13.5">
      <c r="C381" s="71" t="s">
        <v>206</v>
      </c>
    </row>
    <row r="382" ht="13.5">
      <c r="C382" s="71" t="s">
        <v>207</v>
      </c>
    </row>
    <row r="383" ht="13.5">
      <c r="C383" s="71" t="s">
        <v>208</v>
      </c>
    </row>
    <row r="384" ht="13.5">
      <c r="C384" s="71" t="s">
        <v>209</v>
      </c>
    </row>
    <row r="385" ht="13.5">
      <c r="C385" s="71" t="s">
        <v>210</v>
      </c>
    </row>
    <row r="387" ht="15" thickBot="1">
      <c r="F387" s="79" t="s">
        <v>211</v>
      </c>
    </row>
    <row r="388" spans="3:11" ht="12.75" thickBot="1">
      <c r="C388" s="265"/>
      <c r="D388" s="266"/>
      <c r="E388" s="266"/>
      <c r="F388" s="267" t="s">
        <v>212</v>
      </c>
      <c r="G388" s="266"/>
      <c r="H388" s="266"/>
      <c r="I388" s="266"/>
      <c r="J388" s="266"/>
      <c r="K388" s="210"/>
    </row>
    <row r="389" spans="4:11" ht="12">
      <c r="D389" s="90"/>
      <c r="E389" s="90"/>
      <c r="F389" s="90"/>
      <c r="G389" s="90"/>
      <c r="H389" s="74" t="s">
        <v>213</v>
      </c>
      <c r="I389" s="74"/>
      <c r="J389" s="90"/>
      <c r="K389" s="90"/>
    </row>
    <row r="390" spans="4:11" ht="12.75" thickBot="1">
      <c r="D390" s="90"/>
      <c r="E390" s="74" t="s">
        <v>214</v>
      </c>
      <c r="F390" s="74" t="s">
        <v>197</v>
      </c>
      <c r="G390" s="74" t="s">
        <v>215</v>
      </c>
      <c r="H390" s="74" t="s">
        <v>216</v>
      </c>
      <c r="I390" s="74" t="s">
        <v>217</v>
      </c>
      <c r="J390" s="89" t="s">
        <v>218</v>
      </c>
      <c r="K390" s="74" t="s">
        <v>219</v>
      </c>
    </row>
    <row r="391" spans="2:11" ht="10.5">
      <c r="B391" s="1">
        <v>1</v>
      </c>
      <c r="C391" s="63" t="s">
        <v>220</v>
      </c>
      <c r="D391" s="69">
        <v>0.65</v>
      </c>
      <c r="E391" s="94">
        <f>ABS(($E$253-D392)/$H$253)-ABS($G$266)*E392</f>
        <v>2.6999999999999993</v>
      </c>
      <c r="F391" s="93"/>
      <c r="G391" s="93"/>
      <c r="H391" s="94"/>
      <c r="I391" s="183">
        <f>F393*E391-D391*E391</f>
        <v>3.6449999999999987</v>
      </c>
      <c r="J391" s="145">
        <f>I391/(E391*F393)</f>
        <v>0.6749999999999999</v>
      </c>
      <c r="K391" s="95"/>
    </row>
    <row r="392" spans="2:11" ht="12" thickBot="1">
      <c r="B392" s="33"/>
      <c r="C392" s="65" t="s">
        <v>221</v>
      </c>
      <c r="D392" s="70">
        <v>0.35</v>
      </c>
      <c r="E392" s="100">
        <f>(ABS(($E$253-D392)/$H$253)-($E$253-D391))/(ABS($G$266)+$G$259)</f>
        <v>3.3000000000000007</v>
      </c>
      <c r="F392" s="96"/>
      <c r="G392" s="96"/>
      <c r="H392" s="97"/>
      <c r="I392" s="145">
        <f>F393*E392-D392*E392</f>
        <v>5.445000000000001</v>
      </c>
      <c r="J392" s="145">
        <f>I392/(E392*F393)</f>
        <v>0.825</v>
      </c>
      <c r="K392" s="98"/>
    </row>
    <row r="393" spans="2:11" ht="12" thickBot="1">
      <c r="B393" s="33"/>
      <c r="C393" s="67"/>
      <c r="D393" s="68" t="s">
        <v>222</v>
      </c>
      <c r="E393" s="29">
        <f>SUM(E391:E392)</f>
        <v>6</v>
      </c>
      <c r="F393" s="99">
        <f>$E$33+$F$33*E393</f>
        <v>2</v>
      </c>
      <c r="G393" s="99">
        <f>(D391*E391+D392*E392)/E393</f>
        <v>0.48500000000000004</v>
      </c>
      <c r="H393" s="100">
        <f>F393/G393</f>
        <v>4.123711340206185</v>
      </c>
      <c r="I393" s="184">
        <f>E393*F393-E393*G393</f>
        <v>9.09</v>
      </c>
      <c r="J393" s="184">
        <f>I393/(E393*F393)</f>
        <v>0.7575</v>
      </c>
      <c r="K393" s="101">
        <f>STDEV(D391:D392)</f>
        <v>0.21213203435596437</v>
      </c>
    </row>
    <row r="394" spans="2:11" ht="12" thickBot="1">
      <c r="B394" s="33"/>
      <c r="D394" s="8"/>
      <c r="E394" s="54"/>
      <c r="F394" s="31"/>
      <c r="G394" s="31"/>
      <c r="H394" s="54"/>
      <c r="I394" s="54"/>
      <c r="J394" s="54"/>
      <c r="K394" s="31"/>
    </row>
    <row r="395" spans="2:11" ht="10.5">
      <c r="B395" s="1">
        <v>2</v>
      </c>
      <c r="C395" s="63" t="s">
        <v>220</v>
      </c>
      <c r="D395" s="69">
        <v>1.5</v>
      </c>
      <c r="E395" s="94">
        <f>ABS(($E$253-D396)/$H$253)-ABS($G$266)*E396</f>
        <v>1.666666666666667</v>
      </c>
      <c r="F395" s="93"/>
      <c r="G395" s="93"/>
      <c r="H395" s="94"/>
      <c r="I395" s="183">
        <f>F397*E395-D395*E395</f>
        <v>1.3888888888888888</v>
      </c>
      <c r="J395" s="183">
        <f>I395/(E395*F397)</f>
        <v>0.3571428571428571</v>
      </c>
      <c r="K395" s="95"/>
    </row>
    <row r="396" spans="2:11" ht="12" thickBot="1">
      <c r="B396" s="1"/>
      <c r="C396" s="65" t="s">
        <v>221</v>
      </c>
      <c r="D396" s="70">
        <v>0.5</v>
      </c>
      <c r="E396" s="100">
        <f>(ABS(($E$253-D396)/$H$253)-($E$253-D395))/(ABS($G$266)+$G$259)</f>
        <v>3.6666666666666665</v>
      </c>
      <c r="F396" s="96"/>
      <c r="G396" s="96"/>
      <c r="H396" s="97"/>
      <c r="I396" s="145">
        <f>F397*E396-D396*E396</f>
        <v>6.7222222222222205</v>
      </c>
      <c r="J396" s="145">
        <f>I396/(E396*F397)</f>
        <v>0.7857142857142857</v>
      </c>
      <c r="K396" s="98"/>
    </row>
    <row r="397" spans="2:11" ht="12" thickBot="1">
      <c r="B397" s="1"/>
      <c r="C397" s="67"/>
      <c r="D397" s="68" t="s">
        <v>222</v>
      </c>
      <c r="E397" s="29">
        <f>SUM(E395:E396)</f>
        <v>5.333333333333334</v>
      </c>
      <c r="F397" s="99">
        <f>$E$33+$F$33*E397</f>
        <v>2.333333333333333</v>
      </c>
      <c r="G397" s="99">
        <f>(D395*E395+D396*E396)/E397</f>
        <v>0.8125</v>
      </c>
      <c r="H397" s="100">
        <f>F397/G397</f>
        <v>2.8717948717948714</v>
      </c>
      <c r="I397" s="184">
        <f>E397*F397-E397*G397</f>
        <v>8.11111111111111</v>
      </c>
      <c r="J397" s="184">
        <f>I397/(E397*F397)</f>
        <v>0.6517857142857142</v>
      </c>
      <c r="K397" s="101">
        <f>STDEV(D395:D396)</f>
        <v>0.7071067811865476</v>
      </c>
    </row>
    <row r="398" spans="2:11" ht="12" thickBot="1">
      <c r="B398" s="1"/>
      <c r="D398" s="8"/>
      <c r="E398" s="31"/>
      <c r="F398" s="31"/>
      <c r="G398" s="31"/>
      <c r="H398" s="54"/>
      <c r="I398" s="54"/>
      <c r="J398" s="54"/>
      <c r="K398" s="31"/>
    </row>
    <row r="399" spans="2:11" ht="10.5">
      <c r="B399" s="1">
        <v>3</v>
      </c>
      <c r="C399" s="63" t="s">
        <v>220</v>
      </c>
      <c r="D399" s="69">
        <v>1.75</v>
      </c>
      <c r="E399" s="94">
        <f>ABS(($E$253-D400)/$H$253)-ABS($G$266)*E400</f>
        <v>1.5</v>
      </c>
      <c r="F399" s="93"/>
      <c r="G399" s="93"/>
      <c r="H399" s="94"/>
      <c r="I399" s="183">
        <f>F401*E399-D399*E399</f>
        <v>1.125</v>
      </c>
      <c r="J399" s="183">
        <f>I399/(E399*F401)</f>
        <v>0.3</v>
      </c>
      <c r="K399" s="95"/>
    </row>
    <row r="400" spans="2:11" ht="12" thickBot="1">
      <c r="B400" s="1"/>
      <c r="C400" s="65" t="s">
        <v>221</v>
      </c>
      <c r="D400" s="70">
        <v>0.75</v>
      </c>
      <c r="E400" s="100">
        <f>(ABS(($E$253-D400)/$H$253)-($E$253-D399))/(ABS($G$266)+$G$259)</f>
        <v>3.5</v>
      </c>
      <c r="F400" s="96"/>
      <c r="G400" s="96"/>
      <c r="H400" s="97"/>
      <c r="I400" s="145">
        <f>F401*E400-D400*E400</f>
        <v>6.125</v>
      </c>
      <c r="J400" s="145">
        <f>I400/(E400*F401)</f>
        <v>0.7</v>
      </c>
      <c r="K400" s="98"/>
    </row>
    <row r="401" spans="2:11" ht="12" thickBot="1">
      <c r="B401" s="1"/>
      <c r="C401" s="67"/>
      <c r="D401" s="68" t="s">
        <v>222</v>
      </c>
      <c r="E401" s="29">
        <f>SUM(E399:E400)</f>
        <v>5</v>
      </c>
      <c r="F401" s="99">
        <f>$E$33+$F$33*E401</f>
        <v>2.5</v>
      </c>
      <c r="G401" s="99">
        <f>(D399*E399+D400*E400)/E401</f>
        <v>1.05</v>
      </c>
      <c r="H401" s="100">
        <f>F401/G401</f>
        <v>2.380952380952381</v>
      </c>
      <c r="I401" s="184">
        <f>E401*F401-E401*G401</f>
        <v>7.25</v>
      </c>
      <c r="J401" s="184">
        <f>I401/(E401*F401)</f>
        <v>0.58</v>
      </c>
      <c r="K401" s="101">
        <f>STDEV(D399:D400)</f>
        <v>0.7071067811865476</v>
      </c>
    </row>
    <row r="402" spans="2:11" ht="12" thickBot="1">
      <c r="B402" s="1"/>
      <c r="D402" s="8"/>
      <c r="E402" s="31"/>
      <c r="F402" s="31"/>
      <c r="G402" s="31"/>
      <c r="H402" s="54"/>
      <c r="I402" s="54"/>
      <c r="J402" s="54"/>
      <c r="K402" s="31"/>
    </row>
    <row r="403" spans="2:11" ht="10.5">
      <c r="B403" s="1">
        <v>4</v>
      </c>
      <c r="C403" s="63" t="s">
        <v>220</v>
      </c>
      <c r="D403" s="69">
        <v>2</v>
      </c>
      <c r="E403" s="94">
        <f>ABS(($E$253-D404)/$H$253)-ABS($G$266)*E404</f>
        <v>1.333333333333333</v>
      </c>
      <c r="F403" s="93"/>
      <c r="G403" s="93"/>
      <c r="H403" s="94"/>
      <c r="I403" s="183">
        <f>F405*E403-D403*E403</f>
        <v>0.8888888888888893</v>
      </c>
      <c r="J403" s="183">
        <f>I403/(E403*F405)</f>
        <v>0.2500000000000001</v>
      </c>
      <c r="K403" s="95"/>
    </row>
    <row r="404" spans="2:11" ht="12" thickBot="1">
      <c r="B404" s="1"/>
      <c r="C404" s="65" t="s">
        <v>221</v>
      </c>
      <c r="D404" s="70">
        <v>1</v>
      </c>
      <c r="E404" s="100">
        <f>(ABS(($E$253-D404)/$H$253)-($E$253-D403))/(ABS($G$266)+$G$259)</f>
        <v>3.3333333333333335</v>
      </c>
      <c r="F404" s="96"/>
      <c r="G404" s="96"/>
      <c r="H404" s="97"/>
      <c r="I404" s="145">
        <f>F405*E404-D404*E404</f>
        <v>5.555555555555557</v>
      </c>
      <c r="J404" s="145">
        <f>I404/(E404*F405)</f>
        <v>0.625</v>
      </c>
      <c r="K404" s="98"/>
    </row>
    <row r="405" spans="2:11" ht="12" thickBot="1">
      <c r="B405" s="1"/>
      <c r="C405" s="67"/>
      <c r="D405" s="68" t="s">
        <v>222</v>
      </c>
      <c r="E405" s="29">
        <f>SUM(E403:E404)</f>
        <v>4.666666666666666</v>
      </c>
      <c r="F405" s="99">
        <f>$E$33+$F$33*E405</f>
        <v>2.666666666666667</v>
      </c>
      <c r="G405" s="99">
        <f>(D403*E403+D404*E404)/E405</f>
        <v>1.2857142857142858</v>
      </c>
      <c r="H405" s="100">
        <f>F405/G405</f>
        <v>2.074074074074074</v>
      </c>
      <c r="I405" s="184">
        <f>E405*F405-E405*G405</f>
        <v>6.444444444444445</v>
      </c>
      <c r="J405" s="184">
        <f>I405/(E405*F405)</f>
        <v>0.5178571428571429</v>
      </c>
      <c r="K405" s="101">
        <f>STDEV(D403:D404)</f>
        <v>0.7071067811865476</v>
      </c>
    </row>
    <row r="406" spans="2:11" ht="12" thickBot="1">
      <c r="B406" s="1"/>
      <c r="D406" s="8"/>
      <c r="E406" s="31"/>
      <c r="F406" s="31"/>
      <c r="G406" s="31"/>
      <c r="H406" s="54"/>
      <c r="I406" s="54"/>
      <c r="J406" s="54"/>
      <c r="K406" s="31"/>
    </row>
    <row r="407" spans="2:11" ht="10.5">
      <c r="B407" s="1">
        <v>5</v>
      </c>
      <c r="C407" s="63" t="s">
        <v>220</v>
      </c>
      <c r="D407" s="69">
        <v>2.25</v>
      </c>
      <c r="E407" s="94">
        <f>ABS(($E$253-D408)/$H$253)-ABS($G$266)*E408</f>
        <v>1.166666666666667</v>
      </c>
      <c r="F407" s="93"/>
      <c r="G407" s="93"/>
      <c r="H407" s="94"/>
      <c r="I407" s="183">
        <f>F409*E407-D407*E407</f>
        <v>0.6805555555555554</v>
      </c>
      <c r="J407" s="183">
        <f>I407/(E407*F409)</f>
        <v>0.20588235294117638</v>
      </c>
      <c r="K407" s="95"/>
    </row>
    <row r="408" spans="2:11" ht="12" thickBot="1">
      <c r="B408" s="1"/>
      <c r="C408" s="65" t="s">
        <v>221</v>
      </c>
      <c r="D408" s="70">
        <v>1.25</v>
      </c>
      <c r="E408" s="100">
        <f>(ABS(($E$253-D408)/$H$253)-($E$253-D407))/(ABS($G$266)+$G$259)</f>
        <v>3.1666666666666665</v>
      </c>
      <c r="F408" s="96"/>
      <c r="G408" s="96"/>
      <c r="H408" s="97"/>
      <c r="I408" s="145">
        <f>F409*E408-D408*E408</f>
        <v>5.013888888888888</v>
      </c>
      <c r="J408" s="145">
        <f>I408/(E408*F409)</f>
        <v>0.5588235294117647</v>
      </c>
      <c r="K408" s="98"/>
    </row>
    <row r="409" spans="2:11" ht="12" thickBot="1">
      <c r="B409" s="1"/>
      <c r="C409" s="67"/>
      <c r="D409" s="68" t="s">
        <v>222</v>
      </c>
      <c r="E409" s="29">
        <f>SUM(E407:E408)</f>
        <v>4.333333333333334</v>
      </c>
      <c r="F409" s="99">
        <f>$E$33+$F$33*E409</f>
        <v>2.833333333333333</v>
      </c>
      <c r="G409" s="99">
        <f>(D407*E407+D408*E408)/E409</f>
        <v>1.5192307692307692</v>
      </c>
      <c r="H409" s="100">
        <f>F409/G409</f>
        <v>1.8649789029535864</v>
      </c>
      <c r="I409" s="184">
        <f>E409*F409-E409*G409</f>
        <v>5.694444444444445</v>
      </c>
      <c r="J409" s="184">
        <f>I409/(E409*F409)</f>
        <v>0.4638009049773755</v>
      </c>
      <c r="K409" s="101">
        <f>STDEV(D407:D408)</f>
        <v>0.7071067811865476</v>
      </c>
    </row>
    <row r="410" spans="2:11" ht="12" thickBot="1">
      <c r="B410" s="1"/>
      <c r="D410" s="8"/>
      <c r="E410" s="31"/>
      <c r="F410" s="31"/>
      <c r="G410" s="31"/>
      <c r="H410" s="54"/>
      <c r="I410" s="54"/>
      <c r="J410" s="54"/>
      <c r="K410" s="31"/>
    </row>
    <row r="411" spans="2:11" ht="10.5">
      <c r="B411" s="1">
        <v>6</v>
      </c>
      <c r="C411" s="63" t="s">
        <v>220</v>
      </c>
      <c r="D411" s="69">
        <v>3</v>
      </c>
      <c r="E411" s="94">
        <f>ABS(($E$253-D412)/$H$253)-ABS($G$266)*E412</f>
        <v>0.33333333333333304</v>
      </c>
      <c r="F411" s="93"/>
      <c r="G411" s="93"/>
      <c r="H411" s="94"/>
      <c r="I411" s="183">
        <f>F413*E411-D411*E411</f>
        <v>0.05555555555555558</v>
      </c>
      <c r="J411" s="183">
        <f>I411/(E411*F413)</f>
        <v>0.05263157894736849</v>
      </c>
      <c r="K411" s="95"/>
    </row>
    <row r="412" spans="2:11" ht="12" thickBot="1">
      <c r="B412" s="1"/>
      <c r="C412" s="65" t="s">
        <v>221</v>
      </c>
      <c r="D412" s="70">
        <v>1.5</v>
      </c>
      <c r="E412" s="100">
        <f>(ABS(($E$253-D412)/$H$253)-($E$253-D411))/(ABS($G$266)+$G$259)</f>
        <v>3.3333333333333335</v>
      </c>
      <c r="F412" s="96"/>
      <c r="G412" s="96"/>
      <c r="H412" s="97"/>
      <c r="I412" s="145">
        <f>F413*E412-D412*E412</f>
        <v>5.555555555555557</v>
      </c>
      <c r="J412" s="145">
        <f>I412/(E412*F413)</f>
        <v>0.5263157894736843</v>
      </c>
      <c r="K412" s="98"/>
    </row>
    <row r="413" spans="2:11" ht="12" thickBot="1">
      <c r="B413" s="1"/>
      <c r="C413" s="67"/>
      <c r="D413" s="68" t="s">
        <v>222</v>
      </c>
      <c r="E413" s="29">
        <f>SUM(E411:E412)</f>
        <v>3.6666666666666665</v>
      </c>
      <c r="F413" s="99">
        <f>$E$33+$F$33*E413</f>
        <v>3.166666666666667</v>
      </c>
      <c r="G413" s="99">
        <f>(D411*E411+D412*E412)/E413</f>
        <v>1.6363636363636362</v>
      </c>
      <c r="H413" s="100">
        <f>F413/G413</f>
        <v>1.9351851851851856</v>
      </c>
      <c r="I413" s="184">
        <f>E413*F413-E413*G413</f>
        <v>5.611111111111113</v>
      </c>
      <c r="J413" s="184">
        <f>I413/(E413*F413)</f>
        <v>0.48325358851674655</v>
      </c>
      <c r="K413" s="101">
        <f>STDEV(D411:D412)</f>
        <v>1.0606601717798214</v>
      </c>
    </row>
    <row r="414" spans="2:11" ht="12" thickBot="1">
      <c r="B414" s="1"/>
      <c r="D414" s="8"/>
      <c r="E414" s="31"/>
      <c r="F414" s="31"/>
      <c r="G414" s="31"/>
      <c r="H414" s="54"/>
      <c r="I414" s="54"/>
      <c r="J414" s="54"/>
      <c r="K414" s="31"/>
    </row>
    <row r="415" spans="2:11" ht="10.5">
      <c r="B415" s="1">
        <v>7</v>
      </c>
      <c r="C415" s="63" t="s">
        <v>220</v>
      </c>
      <c r="D415" s="69">
        <v>2.6</v>
      </c>
      <c r="E415" s="94">
        <f>ABS(($E$253-D416)/$H$253)-ABS($G$266)*E416</f>
        <v>1.2000000000000002</v>
      </c>
      <c r="F415" s="93"/>
      <c r="G415" s="93"/>
      <c r="H415" s="94"/>
      <c r="I415" s="183">
        <f>F417*E415-D415*E415</f>
        <v>0.7200000000000002</v>
      </c>
      <c r="J415" s="183">
        <f>I415/(E415*F417)</f>
        <v>0.18750000000000003</v>
      </c>
      <c r="K415" s="95"/>
    </row>
    <row r="416" spans="2:11" ht="12" thickBot="1">
      <c r="B416" s="1"/>
      <c r="C416" s="65" t="s">
        <v>221</v>
      </c>
      <c r="D416" s="70">
        <v>2</v>
      </c>
      <c r="E416" s="100">
        <f>(ABS(($E$253-D416)/$H$253)-($E$253-D415))/(ABS($G$266)+$G$259)</f>
        <v>2.4</v>
      </c>
      <c r="F416" s="96"/>
      <c r="G416" s="96"/>
      <c r="H416" s="97"/>
      <c r="I416" s="145">
        <f>F417*E416-D416*E416</f>
        <v>2.88</v>
      </c>
      <c r="J416" s="145">
        <f>I416/(E416*F417)</f>
        <v>0.375</v>
      </c>
      <c r="K416" s="98"/>
    </row>
    <row r="417" spans="2:11" ht="12" thickBot="1">
      <c r="B417" s="1"/>
      <c r="C417" s="67"/>
      <c r="D417" s="68" t="s">
        <v>222</v>
      </c>
      <c r="E417" s="29">
        <f>SUM(E415:E416)</f>
        <v>3.6</v>
      </c>
      <c r="F417" s="99">
        <f>$E$33+$F$33*E417</f>
        <v>3.2</v>
      </c>
      <c r="G417" s="99">
        <f>(D415*E415+D416*E416)/E417</f>
        <v>2.1999999999999997</v>
      </c>
      <c r="H417" s="100">
        <f>F417/G417</f>
        <v>1.4545454545454548</v>
      </c>
      <c r="I417" s="184">
        <f>E417*F417-E417*G417</f>
        <v>3.6000000000000023</v>
      </c>
      <c r="J417" s="184">
        <f>I417/(E417*F417)</f>
        <v>0.31250000000000017</v>
      </c>
      <c r="K417" s="101">
        <f>STDEV(D415:D416)</f>
        <v>0.4242640687119324</v>
      </c>
    </row>
    <row r="418" spans="2:11" ht="12" thickBot="1">
      <c r="B418" s="1"/>
      <c r="D418" s="8"/>
      <c r="E418" s="31"/>
      <c r="F418" s="31"/>
      <c r="G418" s="31"/>
      <c r="H418" s="54"/>
      <c r="I418" s="54"/>
      <c r="J418" s="54"/>
      <c r="K418" s="31"/>
    </row>
    <row r="419" spans="2:11" ht="10.5">
      <c r="B419" s="1">
        <v>8</v>
      </c>
      <c r="C419" s="63" t="s">
        <v>220</v>
      </c>
      <c r="D419" s="69">
        <v>3.623</v>
      </c>
      <c r="E419" s="94">
        <f>ABS(($E$253-D420)/$H$253)-ABS($G$266)*E420</f>
        <v>0.002666666666666373</v>
      </c>
      <c r="F419" s="93"/>
      <c r="G419" s="93"/>
      <c r="H419" s="94"/>
      <c r="I419" s="183">
        <f>F421*E419-D419*E419</f>
        <v>3.5555555555552565E-06</v>
      </c>
      <c r="J419" s="183">
        <f>I419/(E419*F421)</f>
        <v>0.0003678837487354092</v>
      </c>
      <c r="K419" s="95"/>
    </row>
    <row r="420" spans="2:11" ht="12" thickBot="1">
      <c r="B420" s="1"/>
      <c r="C420" s="65" t="s">
        <v>221</v>
      </c>
      <c r="D420" s="70">
        <v>2.25</v>
      </c>
      <c r="E420" s="100">
        <f>(ABS(($E$253-D420)/$H$253)-($E$253-D419))/(ABS($G$266)+$G$259)</f>
        <v>2.748666666666667</v>
      </c>
      <c r="F420" s="96"/>
      <c r="G420" s="96"/>
      <c r="H420" s="97"/>
      <c r="I420" s="145">
        <f>F421*E420-D420*E420</f>
        <v>3.777584222222224</v>
      </c>
      <c r="J420" s="145">
        <f>I420/(E420*F421)</f>
        <v>0.37919617400901323</v>
      </c>
      <c r="K420" s="98"/>
    </row>
    <row r="421" spans="2:11" ht="12" thickBot="1">
      <c r="B421" s="33"/>
      <c r="C421" s="67"/>
      <c r="D421" s="68" t="s">
        <v>222</v>
      </c>
      <c r="E421" s="29">
        <f>SUM(E419:E420)</f>
        <v>2.751333333333333</v>
      </c>
      <c r="F421" s="99">
        <f>$E$33+$F$33*E421</f>
        <v>3.6243333333333334</v>
      </c>
      <c r="G421" s="99">
        <f>(D419*E419+D420*E420)/E421</f>
        <v>2.2513307487278893</v>
      </c>
      <c r="H421" s="100">
        <f>F421/G421</f>
        <v>1.60986267139169</v>
      </c>
      <c r="I421" s="184">
        <f>E421*F421-E421*G421</f>
        <v>3.7775877777777778</v>
      </c>
      <c r="J421" s="184">
        <f>I421/(E421*F421)</f>
        <v>0.37882900338603254</v>
      </c>
      <c r="K421" s="101">
        <f>STDEV(D419:D420)</f>
        <v>0.9708576105691296</v>
      </c>
    </row>
    <row r="423" ht="13.5">
      <c r="C423" s="71" t="s">
        <v>223</v>
      </c>
    </row>
    <row r="424" ht="13.5">
      <c r="C424" s="71" t="s">
        <v>224</v>
      </c>
    </row>
    <row r="425" ht="13.5">
      <c r="C425" s="71" t="s">
        <v>225</v>
      </c>
    </row>
    <row r="426" ht="13.5">
      <c r="C426" s="71" t="s">
        <v>226</v>
      </c>
    </row>
    <row r="427" ht="13.5">
      <c r="C427" s="71" t="s">
        <v>227</v>
      </c>
    </row>
    <row r="428" ht="13.5">
      <c r="C428" s="71" t="s">
        <v>228</v>
      </c>
    </row>
    <row r="429" ht="13.5">
      <c r="C429" s="71" t="s">
        <v>229</v>
      </c>
    </row>
    <row r="430" ht="13.5">
      <c r="C430" s="71" t="s">
        <v>230</v>
      </c>
    </row>
    <row r="431" ht="13.5">
      <c r="C431" s="71" t="s">
        <v>231</v>
      </c>
    </row>
    <row r="433" spans="1:3" ht="13.5">
      <c r="A433" s="79" t="s">
        <v>232</v>
      </c>
      <c r="B433" s="81" t="s">
        <v>336</v>
      </c>
      <c r="C433" s="5"/>
    </row>
    <row r="435" ht="13.5">
      <c r="C435" s="81" t="s">
        <v>337</v>
      </c>
    </row>
    <row r="436" ht="13.5">
      <c r="C436" s="71" t="s">
        <v>338</v>
      </c>
    </row>
    <row r="437" ht="13.5">
      <c r="C437" s="71" t="s">
        <v>339</v>
      </c>
    </row>
    <row r="438" ht="13.5">
      <c r="C438" s="71" t="s">
        <v>340</v>
      </c>
    </row>
    <row r="439" ht="13.5">
      <c r="C439" s="71" t="s">
        <v>341</v>
      </c>
    </row>
    <row r="440" ht="13.5">
      <c r="C440" s="71" t="s">
        <v>342</v>
      </c>
    </row>
    <row r="441" ht="13.5">
      <c r="C441" s="71" t="s">
        <v>343</v>
      </c>
    </row>
    <row r="442" ht="15" thickBot="1">
      <c r="C442" s="71"/>
    </row>
    <row r="443" spans="3:10" ht="15" thickBot="1">
      <c r="C443" s="112"/>
      <c r="D443" s="12"/>
      <c r="E443" s="12"/>
      <c r="F443" s="113" t="s">
        <v>344</v>
      </c>
      <c r="G443" s="12"/>
      <c r="H443" s="12"/>
      <c r="I443" s="12"/>
      <c r="J443" s="64"/>
    </row>
    <row r="444" spans="3:10" ht="15" thickBot="1">
      <c r="C444" s="114"/>
      <c r="D444" s="14"/>
      <c r="E444" s="207"/>
      <c r="F444" s="268" t="s">
        <v>345</v>
      </c>
      <c r="G444" s="208"/>
      <c r="H444" s="210"/>
      <c r="I444" s="14"/>
      <c r="J444" s="66"/>
    </row>
    <row r="445" spans="3:10" ht="13.5">
      <c r="C445" s="114"/>
      <c r="D445" s="14"/>
      <c r="E445" s="14"/>
      <c r="F445" s="66"/>
      <c r="G445" s="14"/>
      <c r="H445" s="14"/>
      <c r="I445" s="14"/>
      <c r="J445" s="66"/>
    </row>
    <row r="446" spans="3:10" ht="13.5">
      <c r="C446" s="114"/>
      <c r="D446" s="14"/>
      <c r="E446" s="14"/>
      <c r="F446" s="103"/>
      <c r="G446" s="14"/>
      <c r="H446" s="14"/>
      <c r="I446" s="14"/>
      <c r="J446" s="66"/>
    </row>
    <row r="447" spans="3:10" ht="13.5">
      <c r="C447" s="114"/>
      <c r="D447" s="14"/>
      <c r="E447" s="14"/>
      <c r="F447" s="103"/>
      <c r="G447" s="14"/>
      <c r="H447" s="14"/>
      <c r="I447" s="14"/>
      <c r="J447" s="66"/>
    </row>
    <row r="448" spans="3:10" ht="13.5">
      <c r="C448" s="114"/>
      <c r="D448" s="14"/>
      <c r="E448" s="14"/>
      <c r="F448" s="103"/>
      <c r="G448" s="14"/>
      <c r="H448" s="14"/>
      <c r="I448" s="14"/>
      <c r="J448" s="66"/>
    </row>
    <row r="449" spans="3:10" ht="13.5">
      <c r="C449" s="114"/>
      <c r="D449"/>
      <c r="E449" s="115" t="s">
        <v>346</v>
      </c>
      <c r="F449" s="103"/>
      <c r="G449" s="14"/>
      <c r="H449" s="37" t="s">
        <v>347</v>
      </c>
      <c r="I449" s="14"/>
      <c r="J449" s="66"/>
    </row>
    <row r="450" spans="3:10" ht="13.5">
      <c r="C450" s="114"/>
      <c r="D450" s="14"/>
      <c r="E450" s="14"/>
      <c r="F450" s="103"/>
      <c r="G450" s="14"/>
      <c r="H450" s="14"/>
      <c r="I450" s="14"/>
      <c r="J450" s="66"/>
    </row>
    <row r="451" spans="3:10" ht="13.5">
      <c r="C451" s="114"/>
      <c r="D451" s="14"/>
      <c r="E451" s="14"/>
      <c r="F451" s="103"/>
      <c r="G451" s="14"/>
      <c r="H451" s="14"/>
      <c r="I451" s="14"/>
      <c r="J451" s="66"/>
    </row>
    <row r="452" spans="3:10" ht="13.5">
      <c r="C452" s="116"/>
      <c r="D452" s="14"/>
      <c r="E452" s="14" t="s">
        <v>348</v>
      </c>
      <c r="F452" s="105"/>
      <c r="G452" s="111">
        <f>E136</f>
        <v>3.5</v>
      </c>
      <c r="H452" s="37" t="s">
        <v>349</v>
      </c>
      <c r="I452" s="14"/>
      <c r="J452" s="66"/>
    </row>
    <row r="453" spans="3:10" ht="13.5">
      <c r="C453" s="116"/>
      <c r="D453" s="14"/>
      <c r="E453" s="14"/>
      <c r="F453" s="134"/>
      <c r="G453" s="137"/>
      <c r="H453" s="14"/>
      <c r="I453" s="14"/>
      <c r="J453" s="66"/>
    </row>
    <row r="454" spans="3:10" ht="13.5">
      <c r="C454" s="117"/>
      <c r="D454" s="14"/>
      <c r="E454" s="14"/>
      <c r="F454" s="134"/>
      <c r="G454" s="137"/>
      <c r="H454" s="14"/>
      <c r="I454" s="14"/>
      <c r="J454" s="66"/>
    </row>
    <row r="455" spans="3:10" ht="13.5">
      <c r="C455" s="117"/>
      <c r="D455" s="14"/>
      <c r="E455" s="14"/>
      <c r="F455" s="134"/>
      <c r="G455" s="137"/>
      <c r="H455" s="14"/>
      <c r="I455" s="14"/>
      <c r="J455" s="66"/>
    </row>
    <row r="456" spans="3:10" ht="13.5">
      <c r="C456" s="117"/>
      <c r="D456" s="14"/>
      <c r="E456" s="14"/>
      <c r="F456" s="134"/>
      <c r="G456" s="137"/>
      <c r="H456" s="14"/>
      <c r="I456" s="14"/>
      <c r="J456" s="66"/>
    </row>
    <row r="457" spans="3:10" ht="13.5">
      <c r="C457" s="117"/>
      <c r="D457" s="14"/>
      <c r="E457" s="14"/>
      <c r="F457" s="134"/>
      <c r="G457" s="137"/>
      <c r="H457" s="14"/>
      <c r="I457" s="14"/>
      <c r="J457" s="66"/>
    </row>
    <row r="458" spans="3:10" ht="13.5">
      <c r="C458" s="117"/>
      <c r="D458" s="14"/>
      <c r="E458" s="14"/>
      <c r="F458" s="134"/>
      <c r="G458" s="137"/>
      <c r="H458" s="14"/>
      <c r="I458" s="14"/>
      <c r="J458" s="66"/>
    </row>
    <row r="459" spans="3:10" ht="13.5">
      <c r="C459" s="117"/>
      <c r="D459" s="118" t="s">
        <v>350</v>
      </c>
      <c r="E459" s="106"/>
      <c r="F459" s="135"/>
      <c r="G459" s="138">
        <f>E161</f>
        <v>2</v>
      </c>
      <c r="H459" s="106"/>
      <c r="I459" s="37" t="s">
        <v>351</v>
      </c>
      <c r="J459" s="66"/>
    </row>
    <row r="460" spans="3:10" ht="13.5">
      <c r="C460" s="117"/>
      <c r="D460" s="14"/>
      <c r="E460" s="109"/>
      <c r="F460" s="134"/>
      <c r="G460" s="137"/>
      <c r="H460" s="107"/>
      <c r="I460" s="14"/>
      <c r="J460" s="66"/>
    </row>
    <row r="461" spans="3:10" ht="13.5">
      <c r="C461" s="117"/>
      <c r="D461" s="14"/>
      <c r="E461" s="109"/>
      <c r="F461" s="134"/>
      <c r="G461" s="137"/>
      <c r="H461" s="107"/>
      <c r="I461" s="14"/>
      <c r="J461" s="66"/>
    </row>
    <row r="462" spans="3:10" ht="13.5">
      <c r="C462" s="117"/>
      <c r="D462" s="14"/>
      <c r="E462" s="109"/>
      <c r="F462" s="134"/>
      <c r="G462" s="137"/>
      <c r="H462" s="107"/>
      <c r="I462" s="14"/>
      <c r="J462" s="66"/>
    </row>
    <row r="463" spans="3:10" ht="13.5">
      <c r="C463" s="117"/>
      <c r="D463" s="14"/>
      <c r="E463" s="109"/>
      <c r="F463" s="134"/>
      <c r="G463" s="137"/>
      <c r="H463" s="107"/>
      <c r="I463" s="14"/>
      <c r="J463" s="66"/>
    </row>
    <row r="464" spans="3:10" ht="13.5">
      <c r="C464" s="117"/>
      <c r="D464" s="14"/>
      <c r="E464" s="109"/>
      <c r="F464" s="134"/>
      <c r="G464" s="137"/>
      <c r="H464" s="107"/>
      <c r="I464" s="14"/>
      <c r="J464" s="66"/>
    </row>
    <row r="465" spans="3:10" ht="13.5">
      <c r="C465" s="117"/>
      <c r="D465" s="14"/>
      <c r="E465" s="109"/>
      <c r="F465" s="134"/>
      <c r="G465" s="137"/>
      <c r="H465" s="107"/>
      <c r="I465" s="14"/>
      <c r="J465" s="66"/>
    </row>
    <row r="466" spans="3:10" ht="15" thickBot="1">
      <c r="C466" s="117"/>
      <c r="D466" s="18"/>
      <c r="E466" s="110"/>
      <c r="F466" s="136"/>
      <c r="G466" s="139"/>
      <c r="H466" s="108"/>
      <c r="I466" s="18"/>
      <c r="J466" s="66"/>
    </row>
    <row r="467" spans="3:10" ht="10.5">
      <c r="C467" s="117"/>
      <c r="D467" s="14"/>
      <c r="E467" s="39">
        <f>E130</f>
        <v>3</v>
      </c>
      <c r="F467" s="39">
        <f>E130/2</f>
        <v>1.5</v>
      </c>
      <c r="G467" s="119">
        <f>E130/2</f>
        <v>1.5</v>
      </c>
      <c r="H467" s="39"/>
      <c r="I467" s="39">
        <f>E130</f>
        <v>3</v>
      </c>
      <c r="J467" s="66"/>
    </row>
    <row r="468" spans="3:10" ht="15" thickBot="1">
      <c r="C468" s="67"/>
      <c r="D468" s="18"/>
      <c r="E468" s="18"/>
      <c r="F468" s="80"/>
      <c r="G468" s="18"/>
      <c r="H468" s="18"/>
      <c r="I468" s="18"/>
      <c r="J468" s="104"/>
    </row>
    <row r="469" spans="3:10" ht="13.5">
      <c r="C469" s="120"/>
      <c r="D469" s="14"/>
      <c r="E469" s="14"/>
      <c r="F469" s="121"/>
      <c r="G469" s="14"/>
      <c r="H469" s="14"/>
      <c r="I469" s="14"/>
      <c r="J469" s="14"/>
    </row>
    <row r="470" ht="13.5">
      <c r="C470" s="71" t="s">
        <v>352</v>
      </c>
    </row>
    <row r="471" ht="13.5">
      <c r="C471" s="71" t="s">
        <v>353</v>
      </c>
    </row>
    <row r="472" ht="13.5">
      <c r="C472" s="71" t="s">
        <v>246</v>
      </c>
    </row>
    <row r="473" ht="13.5">
      <c r="C473" s="71" t="s">
        <v>247</v>
      </c>
    </row>
    <row r="474" ht="12" thickBot="1"/>
    <row r="475" spans="3:8" ht="15" thickBot="1">
      <c r="C475" s="1">
        <v>33</v>
      </c>
      <c r="D475" s="19" t="s">
        <v>147</v>
      </c>
      <c r="E475" s="20">
        <f>E31/2</f>
        <v>5</v>
      </c>
      <c r="F475" s="20">
        <f>F31/2</f>
        <v>-1</v>
      </c>
      <c r="G475" s="24" t="s">
        <v>18</v>
      </c>
      <c r="H475" s="72" t="s">
        <v>248</v>
      </c>
    </row>
    <row r="476" ht="12" thickBot="1"/>
    <row r="477" spans="3:7" ht="12" thickBot="1">
      <c r="C477" s="1">
        <v>34</v>
      </c>
      <c r="D477" s="19" t="s">
        <v>249</v>
      </c>
      <c r="E477" s="20">
        <f>E31/2</f>
        <v>5</v>
      </c>
      <c r="F477" s="20">
        <f>F31/2</f>
        <v>-1</v>
      </c>
      <c r="G477" s="24" t="s">
        <v>18</v>
      </c>
    </row>
    <row r="479" ht="13.5">
      <c r="C479" s="72" t="s">
        <v>250</v>
      </c>
    </row>
    <row r="480" ht="12" thickBot="1"/>
    <row r="481" spans="3:7" ht="12" thickBot="1">
      <c r="C481" s="1">
        <v>35</v>
      </c>
      <c r="D481" s="19" t="s">
        <v>20</v>
      </c>
      <c r="E481" s="20">
        <f>ABS(E475/F475)</f>
        <v>5</v>
      </c>
      <c r="F481" s="20">
        <f>F475</f>
        <v>-1</v>
      </c>
      <c r="G481" s="24" t="s">
        <v>121</v>
      </c>
    </row>
    <row r="482" spans="4:7" ht="12" thickBot="1">
      <c r="D482" s="10"/>
      <c r="E482" s="41"/>
      <c r="F482" s="10"/>
      <c r="G482" s="10"/>
    </row>
    <row r="483" spans="3:8" ht="15" thickBot="1">
      <c r="C483" s="1">
        <v>36</v>
      </c>
      <c r="D483" s="19" t="s">
        <v>20</v>
      </c>
      <c r="E483" s="20">
        <f>ABS(E477/F477)</f>
        <v>5</v>
      </c>
      <c r="F483" s="20">
        <f>F477</f>
        <v>-1</v>
      </c>
      <c r="G483" s="24" t="s">
        <v>118</v>
      </c>
      <c r="H483" s="72" t="s">
        <v>251</v>
      </c>
    </row>
    <row r="486" ht="13.5">
      <c r="C486" s="72" t="s">
        <v>252</v>
      </c>
    </row>
    <row r="487" ht="13.5">
      <c r="C487" s="72" t="s">
        <v>253</v>
      </c>
    </row>
    <row r="488" ht="12" thickBot="1"/>
    <row r="489" spans="3:9" ht="15" thickBot="1">
      <c r="C489" s="1">
        <v>37</v>
      </c>
      <c r="D489" s="19" t="s">
        <v>254</v>
      </c>
      <c r="E489" s="20">
        <f>E481</f>
        <v>5</v>
      </c>
      <c r="F489" s="34" t="s">
        <v>24</v>
      </c>
      <c r="G489" s="20">
        <f>F481</f>
        <v>-1</v>
      </c>
      <c r="H489" s="24" t="s">
        <v>125</v>
      </c>
      <c r="I489" s="72" t="s">
        <v>255</v>
      </c>
    </row>
    <row r="490" spans="4:8" ht="12" thickBot="1">
      <c r="D490" s="6"/>
      <c r="E490" s="10"/>
      <c r="F490" s="10"/>
      <c r="G490" s="10"/>
      <c r="H490" s="10"/>
    </row>
    <row r="491" spans="3:9" ht="15" thickBot="1">
      <c r="C491" s="1">
        <v>38</v>
      </c>
      <c r="D491" s="19" t="s">
        <v>256</v>
      </c>
      <c r="E491" s="20">
        <f>E483</f>
        <v>5</v>
      </c>
      <c r="F491" s="34" t="s">
        <v>24</v>
      </c>
      <c r="G491" s="20">
        <f>F483</f>
        <v>-1</v>
      </c>
      <c r="H491" s="24" t="s">
        <v>142</v>
      </c>
      <c r="I491" s="72" t="s">
        <v>257</v>
      </c>
    </row>
    <row r="493" ht="13.5">
      <c r="C493" s="72" t="s">
        <v>258</v>
      </c>
    </row>
    <row r="494" ht="12" thickBot="1"/>
    <row r="495" spans="3:7" ht="12" thickBot="1">
      <c r="C495" s="1">
        <v>39</v>
      </c>
      <c r="D495" s="19" t="s">
        <v>259</v>
      </c>
      <c r="E495" s="20">
        <f>E489</f>
        <v>5</v>
      </c>
      <c r="F495" s="20">
        <f>2*G489</f>
        <v>-2</v>
      </c>
      <c r="G495" s="24" t="s">
        <v>121</v>
      </c>
    </row>
    <row r="496" spans="4:7" ht="12" thickBot="1">
      <c r="D496" s="6"/>
      <c r="E496" s="10"/>
      <c r="F496" s="41"/>
      <c r="G496" s="10"/>
    </row>
    <row r="497" spans="3:7" ht="12" thickBot="1">
      <c r="C497" s="1">
        <v>40</v>
      </c>
      <c r="D497" s="19" t="s">
        <v>260</v>
      </c>
      <c r="E497" s="20">
        <f>E491</f>
        <v>5</v>
      </c>
      <c r="F497" s="20">
        <f>2*G491</f>
        <v>-2</v>
      </c>
      <c r="G497" s="24" t="s">
        <v>118</v>
      </c>
    </row>
    <row r="500" ht="12" thickBot="1"/>
    <row r="501" spans="3:9" ht="15" thickBot="1">
      <c r="C501" s="72" t="s">
        <v>261</v>
      </c>
      <c r="I501" s="157">
        <f>E43</f>
        <v>2</v>
      </c>
    </row>
    <row r="502" ht="13.5">
      <c r="C502" s="72" t="s">
        <v>262</v>
      </c>
    </row>
    <row r="503" ht="13.5">
      <c r="C503" s="72" t="s">
        <v>263</v>
      </c>
    </row>
    <row r="504" ht="12" thickBot="1"/>
    <row r="505" spans="3:8" ht="12" thickBot="1">
      <c r="C505" s="1">
        <v>41</v>
      </c>
      <c r="D505" s="19" t="s">
        <v>264</v>
      </c>
      <c r="E505" s="20">
        <f>E495</f>
        <v>5</v>
      </c>
      <c r="F505" s="20">
        <f>F495</f>
        <v>-2</v>
      </c>
      <c r="G505" s="34" t="s">
        <v>265</v>
      </c>
      <c r="H505" s="25">
        <f>E43</f>
        <v>2</v>
      </c>
    </row>
    <row r="506" ht="12" thickBot="1"/>
    <row r="507" spans="4:6" ht="15" thickBot="1">
      <c r="D507" s="19" t="s">
        <v>147</v>
      </c>
      <c r="E507" s="21">
        <f>ABS((E505-H505)/F505)</f>
        <v>1.5</v>
      </c>
      <c r="F507" s="72" t="s">
        <v>266</v>
      </c>
    </row>
    <row r="508" ht="12" thickBot="1"/>
    <row r="509" spans="4:5" ht="12" thickBot="1">
      <c r="D509" s="19" t="s">
        <v>267</v>
      </c>
      <c r="E509" s="40">
        <f>E481+F481*E507</f>
        <v>3.5</v>
      </c>
    </row>
    <row r="510" ht="12" thickBot="1"/>
    <row r="511" spans="3:9" ht="15" thickBot="1">
      <c r="C511" s="1">
        <v>42</v>
      </c>
      <c r="D511" s="19" t="s">
        <v>268</v>
      </c>
      <c r="E511" s="20">
        <f>E497</f>
        <v>5</v>
      </c>
      <c r="F511" s="20">
        <f>F497</f>
        <v>-2</v>
      </c>
      <c r="G511" s="34" t="s">
        <v>269</v>
      </c>
      <c r="H511" s="25">
        <f>E43</f>
        <v>2</v>
      </c>
      <c r="I511" s="72" t="s">
        <v>270</v>
      </c>
    </row>
    <row r="512" ht="12" thickBot="1"/>
    <row r="513" spans="4:6" ht="15" thickBot="1">
      <c r="D513" s="19" t="s">
        <v>249</v>
      </c>
      <c r="E513" s="21">
        <f>ABS((E511-H511)/F511)</f>
        <v>1.5</v>
      </c>
      <c r="F513" s="72" t="s">
        <v>271</v>
      </c>
    </row>
    <row r="514" ht="12" thickBot="1">
      <c r="D514" s="6"/>
    </row>
    <row r="515" spans="4:5" ht="12" thickBot="1">
      <c r="D515" s="19" t="s">
        <v>267</v>
      </c>
      <c r="E515" s="40">
        <f>E483+F483*E513</f>
        <v>3.5</v>
      </c>
    </row>
    <row r="517" ht="13.5">
      <c r="C517" s="72" t="s">
        <v>272</v>
      </c>
    </row>
    <row r="518" ht="12" thickBot="1"/>
    <row r="519" spans="3:6" ht="15" thickBot="1">
      <c r="C519" s="1">
        <v>43</v>
      </c>
      <c r="D519" s="19" t="s">
        <v>273</v>
      </c>
      <c r="E519" s="50">
        <f>SUM(E507,E513)</f>
        <v>3</v>
      </c>
      <c r="F519" s="72" t="s">
        <v>274</v>
      </c>
    </row>
    <row r="520" ht="12" thickBot="1"/>
    <row r="521" spans="3:6" ht="15" thickBot="1">
      <c r="C521" s="1">
        <v>44</v>
      </c>
      <c r="D521" s="19" t="s">
        <v>275</v>
      </c>
      <c r="E521" s="26">
        <f>E33+F33*E519</f>
        <v>3.5</v>
      </c>
      <c r="F521" s="72" t="s">
        <v>276</v>
      </c>
    </row>
    <row r="522" ht="12" thickBot="1"/>
    <row r="523" spans="3:5" ht="15" thickBot="1">
      <c r="C523" s="72" t="s">
        <v>277</v>
      </c>
      <c r="D523" s="53">
        <f>E150</f>
        <v>4.5</v>
      </c>
      <c r="E523" s="72" t="s">
        <v>278</v>
      </c>
    </row>
    <row r="524" ht="10.5">
      <c r="C524" s="5"/>
    </row>
    <row r="525" ht="13.5">
      <c r="C525" s="72" t="s">
        <v>279</v>
      </c>
    </row>
    <row r="526" ht="15" thickBot="1">
      <c r="C526" s="72" t="s">
        <v>280</v>
      </c>
    </row>
    <row r="527" spans="3:10" ht="15" thickBot="1">
      <c r="C527" s="72" t="s">
        <v>281</v>
      </c>
      <c r="G527" s="157">
        <f>E141/2</f>
        <v>5.25</v>
      </c>
      <c r="H527" s="122" t="s">
        <v>282</v>
      </c>
      <c r="I527" s="53">
        <f>H159/2</f>
        <v>6</v>
      </c>
      <c r="J527" s="72" t="s">
        <v>283</v>
      </c>
    </row>
    <row r="528" spans="3:8" ht="15" thickBot="1">
      <c r="C528" s="72" t="s">
        <v>284</v>
      </c>
      <c r="E528" s="157">
        <f>E146/2</f>
        <v>3</v>
      </c>
      <c r="F528" s="122" t="s">
        <v>282</v>
      </c>
      <c r="G528" s="157">
        <f>E146</f>
        <v>6</v>
      </c>
      <c r="H528" s="72" t="s">
        <v>285</v>
      </c>
    </row>
    <row r="529" spans="3:5" ht="15" thickBot="1">
      <c r="C529" s="72" t="s">
        <v>286</v>
      </c>
      <c r="D529" s="157">
        <f>E150/2</f>
        <v>2.25</v>
      </c>
      <c r="E529" s="72" t="s">
        <v>287</v>
      </c>
    </row>
    <row r="530" ht="15" thickBot="1">
      <c r="C530" s="72" t="s">
        <v>288</v>
      </c>
    </row>
    <row r="531" spans="3:9" ht="15" thickBot="1">
      <c r="C531" s="72" t="s">
        <v>289</v>
      </c>
      <c r="F531" s="158">
        <f>E519</f>
        <v>3</v>
      </c>
      <c r="G531" s="122" t="s">
        <v>282</v>
      </c>
      <c r="H531" s="158">
        <f>E159</f>
        <v>6</v>
      </c>
      <c r="I531" s="72" t="s">
        <v>290</v>
      </c>
    </row>
    <row r="532" spans="3:7" ht="15" thickBot="1">
      <c r="C532" s="72" t="s">
        <v>291</v>
      </c>
      <c r="E532" s="157">
        <f>E150</f>
        <v>4.5</v>
      </c>
      <c r="F532" s="122" t="s">
        <v>292</v>
      </c>
      <c r="G532" s="72" t="s">
        <v>293</v>
      </c>
    </row>
    <row r="533" spans="3:10" ht="15" thickBot="1">
      <c r="C533" s="72" t="s">
        <v>294</v>
      </c>
      <c r="J533" s="176">
        <f>E515</f>
        <v>3.5</v>
      </c>
    </row>
    <row r="534" ht="13.5">
      <c r="C534" s="72" t="s">
        <v>395</v>
      </c>
    </row>
    <row r="535" ht="13.5">
      <c r="C535" s="72" t="s">
        <v>396</v>
      </c>
    </row>
    <row r="536" ht="13.5">
      <c r="C536" s="72" t="s">
        <v>397</v>
      </c>
    </row>
    <row r="537" ht="10.5">
      <c r="C537" s="5"/>
    </row>
    <row r="538" ht="13.5">
      <c r="C538" s="72" t="s">
        <v>398</v>
      </c>
    </row>
    <row r="539" ht="13.5">
      <c r="C539" s="72" t="s">
        <v>399</v>
      </c>
    </row>
    <row r="540" ht="13.5">
      <c r="C540" s="72" t="s">
        <v>400</v>
      </c>
    </row>
    <row r="541" ht="13.5">
      <c r="C541" s="72" t="s">
        <v>401</v>
      </c>
    </row>
    <row r="542" ht="13.5">
      <c r="C542" s="72" t="s">
        <v>402</v>
      </c>
    </row>
    <row r="543" ht="13.5">
      <c r="C543" s="72" t="s">
        <v>403</v>
      </c>
    </row>
    <row r="544" ht="13.5">
      <c r="C544" s="72" t="s">
        <v>404</v>
      </c>
    </row>
    <row r="545" ht="10.5">
      <c r="C545" s="5"/>
    </row>
    <row r="546" ht="13.5">
      <c r="C546" s="73" t="s">
        <v>405</v>
      </c>
    </row>
    <row r="547" ht="13.5">
      <c r="C547" s="72" t="s">
        <v>406</v>
      </c>
    </row>
    <row r="548" ht="13.5">
      <c r="C548" s="72" t="s">
        <v>407</v>
      </c>
    </row>
    <row r="549" ht="13.5">
      <c r="D549" s="72"/>
    </row>
    <row r="550" spans="4:7" ht="13.5">
      <c r="D550" s="72"/>
      <c r="F550" s="75"/>
      <c r="G550" s="131" t="s">
        <v>408</v>
      </c>
    </row>
    <row r="551" ht="15.75">
      <c r="D551" s="72"/>
    </row>
    <row r="552" ht="15.75">
      <c r="D552" s="72"/>
    </row>
    <row r="553" ht="15.75">
      <c r="D553" s="72"/>
    </row>
    <row r="554" ht="15.75">
      <c r="D554" s="72"/>
    </row>
    <row r="555" spans="4:19" ht="15.75">
      <c r="D555" s="72"/>
      <c r="S555" s="282"/>
    </row>
    <row r="556" spans="4:19" ht="15.75">
      <c r="D556" s="72"/>
      <c r="S556" s="282"/>
    </row>
    <row r="557" spans="4:20" ht="7.5" customHeight="1">
      <c r="D557" s="72"/>
      <c r="T557" s="282"/>
    </row>
    <row r="558" spans="4:20" ht="15.75">
      <c r="D558" s="72"/>
      <c r="T558" s="282"/>
    </row>
    <row r="559" spans="4:20" ht="15.75">
      <c r="D559" s="72"/>
      <c r="T559" s="282"/>
    </row>
    <row r="560" spans="4:20" ht="15.75">
      <c r="D560" s="72"/>
      <c r="T560" s="282"/>
    </row>
    <row r="561" spans="4:20" ht="15.75">
      <c r="D561" s="72"/>
      <c r="T561" s="282"/>
    </row>
    <row r="562" spans="4:20" ht="15.75">
      <c r="D562" s="72"/>
      <c r="T562" s="282"/>
    </row>
    <row r="563" spans="4:20" ht="15.75">
      <c r="D563" s="72"/>
      <c r="T563" s="282"/>
    </row>
    <row r="564" spans="4:20" ht="15.75">
      <c r="D564" s="72"/>
      <c r="T564" s="282"/>
    </row>
    <row r="565" spans="4:20" ht="15.75">
      <c r="D565" s="72"/>
      <c r="T565" s="282"/>
    </row>
    <row r="566" spans="4:20" ht="15.75">
      <c r="D566" s="72"/>
      <c r="T566" s="282"/>
    </row>
    <row r="567" spans="3:20" ht="13.5">
      <c r="C567" s="72" t="s">
        <v>409</v>
      </c>
      <c r="T567" s="282"/>
    </row>
    <row r="568" spans="3:20" ht="13.5">
      <c r="C568" s="269" t="s">
        <v>316</v>
      </c>
      <c r="T568" s="282"/>
    </row>
    <row r="569" spans="3:20" ht="13.5">
      <c r="C569" s="72" t="s">
        <v>317</v>
      </c>
      <c r="T569" s="282"/>
    </row>
    <row r="570" spans="3:20" ht="13.5">
      <c r="C570" s="72" t="s">
        <v>318</v>
      </c>
      <c r="T570" s="282"/>
    </row>
    <row r="571" spans="3:20" ht="13.5">
      <c r="C571" s="72"/>
      <c r="T571" s="282"/>
    </row>
    <row r="572" spans="3:20" ht="13.5">
      <c r="C572" s="72" t="s">
        <v>319</v>
      </c>
      <c r="F572" s="74"/>
      <c r="T572" s="282"/>
    </row>
    <row r="573" spans="3:20" ht="13.5">
      <c r="C573" s="72" t="s">
        <v>320</v>
      </c>
      <c r="E573" s="14"/>
      <c r="F573" s="88"/>
      <c r="G573" s="14"/>
      <c r="T573" s="282"/>
    </row>
    <row r="574" spans="3:20" ht="13.5">
      <c r="C574" s="72" t="s">
        <v>321</v>
      </c>
      <c r="T574" s="282"/>
    </row>
    <row r="575" spans="3:19" ht="13.5">
      <c r="C575" s="72" t="s">
        <v>322</v>
      </c>
      <c r="S575" s="282"/>
    </row>
    <row r="576" spans="3:19" ht="13.5">
      <c r="C576" s="121" t="s">
        <v>323</v>
      </c>
      <c r="D576" s="14"/>
      <c r="E576" s="14"/>
      <c r="F576" s="14"/>
      <c r="G576" s="14"/>
      <c r="H576" s="14"/>
      <c r="I576" s="14"/>
      <c r="J576" s="14"/>
      <c r="S576" s="282"/>
    </row>
    <row r="577" spans="3:19" ht="13.5">
      <c r="C577" s="132" t="s">
        <v>324</v>
      </c>
      <c r="D577" s="2"/>
      <c r="E577" s="2"/>
      <c r="F577" s="2"/>
      <c r="G577" s="2"/>
      <c r="H577" s="2"/>
      <c r="I577" s="2"/>
      <c r="J577" s="2"/>
      <c r="S577" s="282"/>
    </row>
    <row r="578" spans="3:19" ht="13.5">
      <c r="C578" s="132" t="s">
        <v>325</v>
      </c>
      <c r="S578" s="282"/>
    </row>
    <row r="579" spans="3:19" ht="13.5">
      <c r="C579" s="132" t="s">
        <v>326</v>
      </c>
      <c r="S579" s="282"/>
    </row>
    <row r="580" spans="3:19" ht="13.5">
      <c r="C580" s="132" t="s">
        <v>327</v>
      </c>
      <c r="S580" s="282"/>
    </row>
    <row r="581" spans="3:19" ht="13.5">
      <c r="C581" s="132" t="s">
        <v>328</v>
      </c>
      <c r="S581" s="282"/>
    </row>
    <row r="582" spans="3:19" ht="13.5">
      <c r="C582" s="132"/>
      <c r="S582" s="282"/>
    </row>
    <row r="583" spans="3:19" ht="13.5">
      <c r="C583" s="132" t="s">
        <v>329</v>
      </c>
      <c r="S583" s="282"/>
    </row>
    <row r="584" spans="3:19" ht="13.5">
      <c r="C584" s="132" t="s">
        <v>330</v>
      </c>
      <c r="S584" s="282"/>
    </row>
    <row r="585" spans="3:19" ht="13.5">
      <c r="C585" s="132" t="s">
        <v>331</v>
      </c>
      <c r="S585" s="282"/>
    </row>
    <row r="586" spans="3:19" ht="13.5">
      <c r="C586" s="132" t="s">
        <v>332</v>
      </c>
      <c r="S586" s="282"/>
    </row>
    <row r="587" spans="3:19" ht="13.5">
      <c r="C587" s="72" t="s">
        <v>333</v>
      </c>
      <c r="S587" s="282"/>
    </row>
    <row r="588" ht="13.5">
      <c r="C588" s="72" t="s">
        <v>334</v>
      </c>
    </row>
    <row r="589" ht="13.5">
      <c r="C589" s="72" t="s">
        <v>335</v>
      </c>
    </row>
    <row r="590" ht="13.5">
      <c r="C590" s="72" t="s">
        <v>437</v>
      </c>
    </row>
    <row r="591" ht="13.5">
      <c r="C591" s="72" t="s">
        <v>438</v>
      </c>
    </row>
    <row r="592" ht="13.5">
      <c r="C592" s="72" t="s">
        <v>439</v>
      </c>
    </row>
    <row r="593" ht="13.5">
      <c r="C593" s="72"/>
    </row>
    <row r="594" ht="13.5">
      <c r="C594" s="72" t="s">
        <v>440</v>
      </c>
    </row>
    <row r="595" ht="13.5">
      <c r="C595" s="72" t="s">
        <v>441</v>
      </c>
    </row>
    <row r="596" ht="13.5">
      <c r="C596" s="72" t="s">
        <v>442</v>
      </c>
    </row>
    <row r="597" ht="13.5">
      <c r="C597" s="72" t="s">
        <v>443</v>
      </c>
    </row>
    <row r="598" ht="13.5">
      <c r="C598" s="72" t="s">
        <v>444</v>
      </c>
    </row>
    <row r="599" ht="13.5">
      <c r="C599" s="72"/>
    </row>
    <row r="600" ht="13.5">
      <c r="C600" s="73" t="s">
        <v>445</v>
      </c>
    </row>
    <row r="601" ht="13.5">
      <c r="C601" s="72" t="s">
        <v>446</v>
      </c>
    </row>
    <row r="602" ht="13.5">
      <c r="C602" s="72" t="s">
        <v>447</v>
      </c>
    </row>
    <row r="603" ht="13.5">
      <c r="C603" s="72" t="s">
        <v>448</v>
      </c>
    </row>
    <row r="604" ht="13.5">
      <c r="C604" s="72" t="s">
        <v>449</v>
      </c>
    </row>
    <row r="605" ht="13.5">
      <c r="C605" s="72" t="s">
        <v>354</v>
      </c>
    </row>
    <row r="606" ht="13.5">
      <c r="C606" s="72" t="s">
        <v>355</v>
      </c>
    </row>
    <row r="607" ht="13.5">
      <c r="C607" s="72" t="s">
        <v>356</v>
      </c>
    </row>
    <row r="608" ht="13.5">
      <c r="C608" s="72"/>
    </row>
    <row r="609" ht="13.5">
      <c r="C609" s="72" t="s">
        <v>357</v>
      </c>
    </row>
    <row r="610" ht="13.5">
      <c r="C610" s="72" t="s">
        <v>63</v>
      </c>
    </row>
    <row r="611" ht="13.5">
      <c r="C611" s="72" t="s">
        <v>64</v>
      </c>
    </row>
    <row r="612" ht="13.5">
      <c r="C612" s="72" t="s">
        <v>358</v>
      </c>
    </row>
    <row r="613" ht="13.5">
      <c r="C613" s="72" t="s">
        <v>359</v>
      </c>
    </row>
    <row r="614" ht="13.5">
      <c r="C614" s="72"/>
    </row>
    <row r="615" ht="13.5">
      <c r="C615" s="72" t="s">
        <v>360</v>
      </c>
    </row>
    <row r="616" ht="13.5">
      <c r="C616" s="72" t="s">
        <v>361</v>
      </c>
    </row>
    <row r="617" ht="13.5">
      <c r="C617" s="72" t="s">
        <v>362</v>
      </c>
    </row>
    <row r="618" spans="4:10" ht="15" thickBot="1">
      <c r="D618" s="72"/>
      <c r="E618" s="6" t="s">
        <v>363</v>
      </c>
      <c r="F618" s="10" t="s">
        <v>364</v>
      </c>
      <c r="H618" s="133" t="s">
        <v>365</v>
      </c>
      <c r="I618" s="6" t="s">
        <v>366</v>
      </c>
      <c r="J618" s="10" t="s">
        <v>18</v>
      </c>
    </row>
    <row r="619" spans="3:10" ht="12" thickBot="1">
      <c r="C619" s="1">
        <v>45</v>
      </c>
      <c r="D619" s="19" t="s">
        <v>147</v>
      </c>
      <c r="E619" s="20">
        <f>E31</f>
        <v>10</v>
      </c>
      <c r="F619" s="20">
        <f>-F259</f>
        <v>-3</v>
      </c>
      <c r="G619" s="20">
        <f>-G259</f>
        <v>0.5</v>
      </c>
      <c r="H619" s="20" t="s">
        <v>118</v>
      </c>
      <c r="I619" s="20">
        <f>F31</f>
        <v>-2</v>
      </c>
      <c r="J619" s="24" t="s">
        <v>18</v>
      </c>
    </row>
    <row r="620" ht="13.5">
      <c r="D620" s="72"/>
    </row>
    <row r="621" spans="3:4" ht="13.5">
      <c r="C621" s="71" t="s">
        <v>367</v>
      </c>
      <c r="D621" s="72"/>
    </row>
    <row r="622" spans="3:4" ht="13.5">
      <c r="C622" s="71" t="s">
        <v>368</v>
      </c>
      <c r="D622" s="72"/>
    </row>
    <row r="623" spans="3:4" ht="15" thickBot="1">
      <c r="C623" s="71"/>
      <c r="D623" s="72"/>
    </row>
    <row r="624" spans="3:8" ht="15" thickBot="1">
      <c r="C624" s="1">
        <v>46</v>
      </c>
      <c r="D624" s="19" t="s">
        <v>147</v>
      </c>
      <c r="E624" s="20">
        <f>(E619+F619)/(1-G619)</f>
        <v>14</v>
      </c>
      <c r="F624" s="20">
        <f>I619/G619</f>
        <v>-4</v>
      </c>
      <c r="G624" s="24" t="s">
        <v>18</v>
      </c>
      <c r="H624" s="72" t="s">
        <v>369</v>
      </c>
    </row>
    <row r="625" spans="3:4" ht="15" thickBot="1">
      <c r="C625" s="71"/>
      <c r="D625" s="72"/>
    </row>
    <row r="626" spans="3:8" ht="15" thickBot="1">
      <c r="C626" s="1">
        <v>47</v>
      </c>
      <c r="D626" s="19" t="s">
        <v>20</v>
      </c>
      <c r="E626" s="20">
        <f>E624/ABS(F624)</f>
        <v>3.5</v>
      </c>
      <c r="F626" s="20">
        <f>1/(F624)</f>
        <v>-0.25</v>
      </c>
      <c r="G626" s="24" t="s">
        <v>24</v>
      </c>
      <c r="H626" s="72" t="s">
        <v>370</v>
      </c>
    </row>
    <row r="627" spans="4:6" ht="15" thickBot="1">
      <c r="D627" s="72"/>
      <c r="E627" s="7"/>
      <c r="F627" s="7"/>
    </row>
    <row r="628" spans="3:10" ht="15" thickBot="1">
      <c r="C628" s="1">
        <v>48</v>
      </c>
      <c r="D628" s="19" t="s">
        <v>371</v>
      </c>
      <c r="E628" s="20">
        <f>E626</f>
        <v>3.5</v>
      </c>
      <c r="F628" s="20" t="s">
        <v>121</v>
      </c>
      <c r="G628" s="34">
        <f>F626</f>
        <v>-0.25</v>
      </c>
      <c r="H628" s="24" t="s">
        <v>372</v>
      </c>
      <c r="I628" s="72" t="s">
        <v>373</v>
      </c>
      <c r="J628" s="10"/>
    </row>
    <row r="629" spans="5:6" ht="12" thickBot="1">
      <c r="E629" s="7"/>
      <c r="F629" s="7"/>
    </row>
    <row r="630" spans="3:7" ht="12" thickBot="1">
      <c r="C630" s="1">
        <v>49</v>
      </c>
      <c r="D630" s="19" t="s">
        <v>374</v>
      </c>
      <c r="E630" s="20">
        <f>E628</f>
        <v>3.5</v>
      </c>
      <c r="F630" s="20">
        <f>2*G628</f>
        <v>-0.5</v>
      </c>
      <c r="G630" s="24" t="s">
        <v>121</v>
      </c>
    </row>
    <row r="631" spans="4:7" ht="12" thickBot="1">
      <c r="D631" s="15"/>
      <c r="E631" s="28"/>
      <c r="F631" s="28"/>
      <c r="G631" s="37"/>
    </row>
    <row r="632" spans="3:9" ht="15" thickBot="1">
      <c r="C632" s="71" t="s">
        <v>375</v>
      </c>
      <c r="H632" s="157">
        <f>E43</f>
        <v>2</v>
      </c>
      <c r="I632" s="72" t="s">
        <v>376</v>
      </c>
    </row>
    <row r="633" ht="13.5">
      <c r="C633" s="71" t="s">
        <v>377</v>
      </c>
    </row>
    <row r="634" ht="15" thickBot="1">
      <c r="C634" s="71"/>
    </row>
    <row r="635" spans="3:9" ht="15" thickBot="1">
      <c r="C635" s="1">
        <v>50</v>
      </c>
      <c r="D635" s="19" t="s">
        <v>378</v>
      </c>
      <c r="E635" s="20">
        <f>E630</f>
        <v>3.5</v>
      </c>
      <c r="F635" s="20">
        <f>F630</f>
        <v>-0.5</v>
      </c>
      <c r="G635" s="34" t="s">
        <v>379</v>
      </c>
      <c r="H635" s="25">
        <f>E43</f>
        <v>2</v>
      </c>
      <c r="I635" s="72" t="s">
        <v>380</v>
      </c>
    </row>
    <row r="636" ht="12" thickBot="1">
      <c r="C636" s="33"/>
    </row>
    <row r="637" spans="3:5" ht="12" thickBot="1">
      <c r="C637" s="33"/>
      <c r="D637" s="19" t="s">
        <v>147</v>
      </c>
      <c r="E637" s="21">
        <f>(E635-H635)/ABS(F635)</f>
        <v>3</v>
      </c>
    </row>
    <row r="638" ht="12" thickBot="1">
      <c r="C638" s="33"/>
    </row>
    <row r="639" spans="3:7" ht="15" thickBot="1">
      <c r="C639" s="71" t="s">
        <v>381</v>
      </c>
      <c r="F639" s="86">
        <f>E637</f>
        <v>3</v>
      </c>
      <c r="G639" s="72" t="s">
        <v>382</v>
      </c>
    </row>
    <row r="640" ht="13.5">
      <c r="C640" s="71" t="s">
        <v>383</v>
      </c>
    </row>
    <row r="641" spans="3:8" ht="15" thickBot="1">
      <c r="C641" s="71"/>
      <c r="E641" s="6" t="s">
        <v>302</v>
      </c>
      <c r="F641" s="6" t="s">
        <v>384</v>
      </c>
      <c r="G641" s="6" t="s">
        <v>366</v>
      </c>
      <c r="H641" s="10" t="s">
        <v>18</v>
      </c>
    </row>
    <row r="642" spans="3:9" ht="15" thickBot="1">
      <c r="C642" s="1">
        <v>51</v>
      </c>
      <c r="D642" s="19" t="s">
        <v>249</v>
      </c>
      <c r="E642" s="20">
        <f>E619</f>
        <v>10</v>
      </c>
      <c r="F642" s="20">
        <f>E637</f>
        <v>3</v>
      </c>
      <c r="G642" s="20">
        <f>I619</f>
        <v>-2</v>
      </c>
      <c r="H642" s="24" t="s">
        <v>18</v>
      </c>
      <c r="I642" s="72" t="s">
        <v>385</v>
      </c>
    </row>
    <row r="643" ht="12" thickBot="1"/>
    <row r="644" spans="3:8" ht="15" thickBot="1">
      <c r="C644" s="1">
        <v>52</v>
      </c>
      <c r="D644" s="19" t="s">
        <v>386</v>
      </c>
      <c r="E644" s="34">
        <f>(E642-F642)/ABS(G642)</f>
        <v>3.5</v>
      </c>
      <c r="F644" s="34">
        <f>1/(G642)</f>
        <v>-0.5</v>
      </c>
      <c r="G644" s="24" t="s">
        <v>121</v>
      </c>
      <c r="H644" s="72" t="s">
        <v>387</v>
      </c>
    </row>
    <row r="645" spans="4:8" ht="13.5">
      <c r="D645" s="15"/>
      <c r="E645" s="37"/>
      <c r="F645" s="37"/>
      <c r="G645" s="37"/>
      <c r="H645" s="72"/>
    </row>
    <row r="646" spans="3:4" ht="13.5">
      <c r="C646" s="71"/>
      <c r="D646" s="72" t="s">
        <v>388</v>
      </c>
    </row>
    <row r="647" ht="12" thickBot="1">
      <c r="C647" s="33"/>
    </row>
    <row r="648" spans="3:9" ht="15" thickBot="1">
      <c r="C648" s="1">
        <v>53</v>
      </c>
      <c r="D648" s="19" t="s">
        <v>256</v>
      </c>
      <c r="E648" s="34">
        <f>E644</f>
        <v>3.5</v>
      </c>
      <c r="F648" s="34" t="s">
        <v>389</v>
      </c>
      <c r="G648" s="34">
        <f>F644</f>
        <v>-0.5</v>
      </c>
      <c r="H648" s="24" t="s">
        <v>125</v>
      </c>
      <c r="I648" s="72" t="s">
        <v>390</v>
      </c>
    </row>
    <row r="649" spans="3:4" ht="15" thickBot="1">
      <c r="C649" s="71"/>
      <c r="D649" s="38"/>
    </row>
    <row r="650" spans="3:8" ht="15" thickBot="1">
      <c r="C650" s="1">
        <v>54</v>
      </c>
      <c r="D650" s="19" t="s">
        <v>260</v>
      </c>
      <c r="E650" s="34">
        <f>E648</f>
        <v>3.5</v>
      </c>
      <c r="F650" s="34">
        <f>2*G648</f>
        <v>-1</v>
      </c>
      <c r="G650" s="24" t="s">
        <v>121</v>
      </c>
      <c r="H650" s="72" t="s">
        <v>391</v>
      </c>
    </row>
    <row r="651" spans="4:7" ht="12" thickBot="1">
      <c r="D651" s="15"/>
      <c r="E651" s="37"/>
      <c r="F651" s="37"/>
      <c r="G651" s="37"/>
    </row>
    <row r="652" spans="3:9" ht="15" thickBot="1">
      <c r="C652" s="1">
        <v>55</v>
      </c>
      <c r="D652" s="19" t="s">
        <v>392</v>
      </c>
      <c r="E652" s="34">
        <f>E650</f>
        <v>3.5</v>
      </c>
      <c r="F652" s="34">
        <f>F650</f>
        <v>-1</v>
      </c>
      <c r="G652" s="34" t="s">
        <v>393</v>
      </c>
      <c r="H652" s="25">
        <f>E43</f>
        <v>2</v>
      </c>
      <c r="I652" s="72" t="s">
        <v>394</v>
      </c>
    </row>
    <row r="653" spans="3:4" ht="12" customHeight="1" thickBot="1">
      <c r="C653" s="33"/>
      <c r="D653" s="38"/>
    </row>
    <row r="654" spans="3:5" ht="15" thickBot="1">
      <c r="C654" s="71"/>
      <c r="D654" s="19" t="s">
        <v>150</v>
      </c>
      <c r="E654" s="21">
        <f>E650-E43</f>
        <v>1.5</v>
      </c>
    </row>
    <row r="656" spans="3:11" ht="13.5">
      <c r="C656" s="71" t="s">
        <v>488</v>
      </c>
      <c r="K656"/>
    </row>
    <row r="657" spans="3:11" ht="15" thickBot="1">
      <c r="C657" s="71"/>
      <c r="E657" s="6" t="s">
        <v>121</v>
      </c>
      <c r="F657" s="10" t="s">
        <v>489</v>
      </c>
      <c r="K657" s="141"/>
    </row>
    <row r="658" spans="3:11" ht="12.75" thickBot="1">
      <c r="C658" s="1">
        <v>56</v>
      </c>
      <c r="D658" s="19" t="s">
        <v>490</v>
      </c>
      <c r="E658" s="20">
        <f>E637</f>
        <v>3</v>
      </c>
      <c r="F658" s="20">
        <f>E654</f>
        <v>1.5</v>
      </c>
      <c r="G658" s="34" t="s">
        <v>491</v>
      </c>
      <c r="H658" s="142">
        <f>SUM(E637+E654)</f>
        <v>4.5</v>
      </c>
      <c r="K658" s="141"/>
    </row>
    <row r="659" spans="4:11" ht="12">
      <c r="D659" s="15"/>
      <c r="E659" s="28"/>
      <c r="F659" s="37"/>
      <c r="G659" s="37"/>
      <c r="H659" s="141"/>
      <c r="K659" s="141"/>
    </row>
    <row r="660" ht="13.5">
      <c r="C660" s="71" t="s">
        <v>492</v>
      </c>
    </row>
    <row r="661" ht="13.5">
      <c r="C661" s="71" t="s">
        <v>493</v>
      </c>
    </row>
    <row r="662" ht="12" thickBot="1">
      <c r="C662" s="33"/>
    </row>
    <row r="663" spans="3:7" ht="12" thickBot="1">
      <c r="C663" s="1">
        <v>57</v>
      </c>
      <c r="D663" s="19" t="s">
        <v>20</v>
      </c>
      <c r="E663" s="20">
        <f>E33</f>
        <v>5</v>
      </c>
      <c r="F663" s="20">
        <f>F33</f>
        <v>-0.5</v>
      </c>
      <c r="G663" s="24" t="s">
        <v>24</v>
      </c>
    </row>
    <row r="664" ht="15" thickBot="1">
      <c r="C664" s="71"/>
    </row>
    <row r="665" spans="4:7" ht="12" thickBot="1">
      <c r="D665" s="19" t="s">
        <v>172</v>
      </c>
      <c r="E665" s="20">
        <f>E663</f>
        <v>5</v>
      </c>
      <c r="F665" s="20">
        <f>F663</f>
        <v>-0.5</v>
      </c>
      <c r="G665" s="46">
        <f>H658</f>
        <v>4.5</v>
      </c>
    </row>
    <row r="666" ht="12" thickBot="1"/>
    <row r="667" spans="4:6" ht="15" thickBot="1">
      <c r="D667" s="19" t="s">
        <v>20</v>
      </c>
      <c r="E667" s="26">
        <f>E665+F665*G665</f>
        <v>2.75</v>
      </c>
      <c r="F667" s="72" t="s">
        <v>494</v>
      </c>
    </row>
    <row r="668" ht="12" thickBot="1"/>
    <row r="669" spans="3:8" ht="12" thickBot="1">
      <c r="C669" s="1">
        <v>58</v>
      </c>
      <c r="D669" s="19" t="s">
        <v>495</v>
      </c>
      <c r="E669" s="20">
        <f>E663</f>
        <v>5</v>
      </c>
      <c r="F669" s="34" t="s">
        <v>496</v>
      </c>
      <c r="G669" s="20">
        <f>F663</f>
        <v>-0.5</v>
      </c>
      <c r="H669" s="24" t="s">
        <v>25</v>
      </c>
    </row>
    <row r="670" ht="12" thickBot="1"/>
    <row r="671" spans="4:8" ht="12" thickBot="1">
      <c r="D671" s="19" t="s">
        <v>23</v>
      </c>
      <c r="E671" s="20">
        <f>E669</f>
        <v>5</v>
      </c>
      <c r="F671" s="55">
        <f>H658</f>
        <v>4.5</v>
      </c>
      <c r="G671" s="20">
        <f>G669</f>
        <v>-0.5</v>
      </c>
      <c r="H671" s="36">
        <f>H658^2</f>
        <v>20.25</v>
      </c>
    </row>
    <row r="672" ht="12" thickBot="1"/>
    <row r="673" spans="4:6" ht="15" thickBot="1">
      <c r="D673" s="19" t="s">
        <v>495</v>
      </c>
      <c r="E673" s="26">
        <f>E671*F671+G671*H671</f>
        <v>12.375</v>
      </c>
      <c r="F673" s="72" t="s">
        <v>497</v>
      </c>
    </row>
    <row r="674" ht="12" thickBot="1"/>
    <row r="675" spans="3:6" ht="12" thickBot="1">
      <c r="C675" s="1">
        <v>59</v>
      </c>
      <c r="D675" s="19" t="s">
        <v>27</v>
      </c>
      <c r="E675" s="20">
        <f>E39</f>
        <v>2</v>
      </c>
      <c r="F675" s="24" t="s">
        <v>24</v>
      </c>
    </row>
    <row r="676" ht="12" thickBot="1"/>
    <row r="677" spans="4:6" ht="12" thickBot="1">
      <c r="D677" s="19" t="s">
        <v>498</v>
      </c>
      <c r="E677" s="20">
        <f>E675</f>
        <v>2</v>
      </c>
      <c r="F677" s="46">
        <f>H658</f>
        <v>4.5</v>
      </c>
    </row>
    <row r="678" ht="12" thickBot="1"/>
    <row r="679" spans="4:6" ht="15" thickBot="1">
      <c r="D679" s="19" t="s">
        <v>27</v>
      </c>
      <c r="E679" s="26">
        <f>E677*F677</f>
        <v>9</v>
      </c>
      <c r="F679" s="72" t="s">
        <v>499</v>
      </c>
    </row>
    <row r="680" ht="12" thickBot="1"/>
    <row r="681" spans="3:8" ht="12" thickBot="1">
      <c r="C681" s="1">
        <v>60</v>
      </c>
      <c r="D681" s="19" t="s">
        <v>500</v>
      </c>
      <c r="E681" s="57">
        <f>E673</f>
        <v>12.375</v>
      </c>
      <c r="F681" s="143">
        <f>-E679</f>
        <v>-9</v>
      </c>
      <c r="G681" s="144" t="s">
        <v>172</v>
      </c>
      <c r="H681" s="25">
        <f>E681+F681</f>
        <v>3.375</v>
      </c>
    </row>
    <row r="683" ht="13.5">
      <c r="C683" s="71" t="s">
        <v>501</v>
      </c>
    </row>
    <row r="684" spans="3:5" ht="13.5">
      <c r="C684" s="132" t="s">
        <v>502</v>
      </c>
      <c r="D684" s="2"/>
      <c r="E684" s="72"/>
    </row>
    <row r="685" ht="12" thickBot="1">
      <c r="C685" s="33"/>
    </row>
    <row r="686" spans="3:10" ht="15" thickBot="1">
      <c r="C686" s="1">
        <v>61</v>
      </c>
      <c r="D686" s="19" t="s">
        <v>371</v>
      </c>
      <c r="E686" s="146">
        <f>E628*E637+G628*(E637^2)</f>
        <v>8.25</v>
      </c>
      <c r="F686" s="147" t="s">
        <v>503</v>
      </c>
      <c r="G686" s="19" t="s">
        <v>504</v>
      </c>
      <c r="H686" s="146">
        <f>E43*E637</f>
        <v>6</v>
      </c>
      <c r="I686" s="72" t="s">
        <v>505</v>
      </c>
      <c r="J686" s="148">
        <f>E686-H686</f>
        <v>2.25</v>
      </c>
    </row>
    <row r="687" ht="12" thickBot="1"/>
    <row r="688" spans="4:6" ht="15" thickBot="1">
      <c r="D688" s="19" t="s">
        <v>506</v>
      </c>
      <c r="E688" s="149">
        <f>(E686-H686)/E686</f>
        <v>0.2727272727272727</v>
      </c>
      <c r="F688" s="72" t="s">
        <v>507</v>
      </c>
    </row>
    <row r="689" ht="12" thickBot="1"/>
    <row r="690" spans="3:10" ht="15" thickBot="1">
      <c r="C690" s="1">
        <v>62</v>
      </c>
      <c r="D690" s="19" t="s">
        <v>508</v>
      </c>
      <c r="E690" s="146">
        <f>E650*E654+G648*(E654^2)</f>
        <v>4.125</v>
      </c>
      <c r="F690" s="122" t="s">
        <v>503</v>
      </c>
      <c r="G690" s="19" t="s">
        <v>509</v>
      </c>
      <c r="H690" s="146">
        <f>E654*E43</f>
        <v>3</v>
      </c>
      <c r="I690" s="72" t="s">
        <v>505</v>
      </c>
      <c r="J690" s="148">
        <f>E690-H690</f>
        <v>1.125</v>
      </c>
    </row>
    <row r="691" ht="12" thickBot="1"/>
    <row r="692" spans="4:6" ht="15" thickBot="1">
      <c r="D692" s="19" t="s">
        <v>510</v>
      </c>
      <c r="E692" s="149">
        <f>J690/E690</f>
        <v>0.2727272727272727</v>
      </c>
      <c r="F692" s="72" t="s">
        <v>511</v>
      </c>
    </row>
    <row r="693" ht="12" thickBot="1"/>
    <row r="694" spans="3:10" ht="15" thickBot="1">
      <c r="C694" s="1">
        <v>63</v>
      </c>
      <c r="D694" s="19" t="s">
        <v>512</v>
      </c>
      <c r="E694" s="146">
        <f>E673</f>
        <v>12.375</v>
      </c>
      <c r="F694" s="122" t="s">
        <v>503</v>
      </c>
      <c r="G694" s="19" t="s">
        <v>509</v>
      </c>
      <c r="H694" s="146">
        <f>E679</f>
        <v>9</v>
      </c>
      <c r="I694" s="72" t="s">
        <v>505</v>
      </c>
      <c r="J694" s="148">
        <f>E694-H694</f>
        <v>3.375</v>
      </c>
    </row>
    <row r="695" ht="12" thickBot="1"/>
    <row r="696" spans="4:5" ht="12" thickBot="1">
      <c r="D696" s="19" t="s">
        <v>513</v>
      </c>
      <c r="E696" s="149">
        <f>(J694/E694)</f>
        <v>0.2727272727272727</v>
      </c>
    </row>
    <row r="699" ht="13.5">
      <c r="C699" s="71" t="s">
        <v>514</v>
      </c>
    </row>
    <row r="700" ht="15" thickBot="1">
      <c r="C700" s="71" t="s">
        <v>515</v>
      </c>
    </row>
    <row r="701" spans="3:4" ht="15" thickBot="1">
      <c r="C701" s="150">
        <f>E309</f>
        <v>4</v>
      </c>
      <c r="D701" s="72" t="s">
        <v>516</v>
      </c>
    </row>
    <row r="702" ht="13.5">
      <c r="C702" s="71" t="s">
        <v>410</v>
      </c>
    </row>
    <row r="703" ht="13.5">
      <c r="C703" s="71" t="s">
        <v>411</v>
      </c>
    </row>
    <row r="704" ht="13.5">
      <c r="C704" s="71" t="s">
        <v>412</v>
      </c>
    </row>
    <row r="705" ht="10.5">
      <c r="C705" s="33"/>
    </row>
    <row r="706" ht="13.5">
      <c r="C706" s="71" t="s">
        <v>413</v>
      </c>
    </row>
    <row r="707" ht="13.5">
      <c r="C707" s="71" t="s">
        <v>414</v>
      </c>
    </row>
    <row r="708" ht="13.5">
      <c r="C708" s="71" t="s">
        <v>415</v>
      </c>
    </row>
    <row r="709" ht="13.5">
      <c r="C709" s="71" t="s">
        <v>416</v>
      </c>
    </row>
    <row r="711" ht="12.75" thickBot="1">
      <c r="G711" s="74" t="s">
        <v>417</v>
      </c>
    </row>
    <row r="712" spans="5:10" ht="12.75" thickBot="1">
      <c r="E712" s="207"/>
      <c r="F712" s="208"/>
      <c r="G712" s="267" t="s">
        <v>418</v>
      </c>
      <c r="H712" s="208"/>
      <c r="I712" s="208"/>
      <c r="J712" s="210"/>
    </row>
    <row r="713" ht="12">
      <c r="F713" s="74"/>
    </row>
    <row r="714" spans="4:5" ht="10.5">
      <c r="D714" s="6" t="s">
        <v>197</v>
      </c>
      <c r="E714" s="13"/>
    </row>
    <row r="715" ht="10.5">
      <c r="E715" s="13"/>
    </row>
    <row r="716" spans="4:5" ht="10.5">
      <c r="D716" s="10"/>
      <c r="E716" s="13"/>
    </row>
    <row r="717" spans="4:5" ht="10.5">
      <c r="D717" s="10"/>
      <c r="E717" s="13"/>
    </row>
    <row r="718" spans="4:6" ht="10.5">
      <c r="D718" s="42">
        <f>E136</f>
        <v>3.5</v>
      </c>
      <c r="E718" s="151"/>
      <c r="F718" s="10" t="s">
        <v>419</v>
      </c>
    </row>
    <row r="719" spans="4:5" ht="10.5">
      <c r="D719" s="10"/>
      <c r="E719" s="152"/>
    </row>
    <row r="720" spans="4:5" ht="10.5">
      <c r="D720" s="10"/>
      <c r="E720" s="152"/>
    </row>
    <row r="721" spans="4:5" ht="10.5">
      <c r="D721" s="10"/>
      <c r="E721" s="152"/>
    </row>
    <row r="722" spans="4:5" ht="10.5">
      <c r="D722" s="10"/>
      <c r="E722" s="152"/>
    </row>
    <row r="723" spans="4:7" ht="10.5">
      <c r="D723" s="42">
        <f>F275</f>
        <v>3</v>
      </c>
      <c r="E723" s="156"/>
      <c r="F723" s="106"/>
      <c r="G723" s="10" t="s">
        <v>420</v>
      </c>
    </row>
    <row r="724" spans="4:6" ht="10.5">
      <c r="D724" s="10"/>
      <c r="E724" s="152"/>
      <c r="F724" s="107"/>
    </row>
    <row r="725" spans="4:6" ht="10.5">
      <c r="D725" s="10"/>
      <c r="E725" s="152"/>
      <c r="F725" s="107"/>
    </row>
    <row r="726" spans="4:6" ht="10.5">
      <c r="D726" s="10"/>
      <c r="E726" s="152"/>
      <c r="F726" s="107"/>
    </row>
    <row r="727" spans="4:8" ht="10.5">
      <c r="D727" s="42">
        <f>E667</f>
        <v>2.75</v>
      </c>
      <c r="E727" s="154"/>
      <c r="F727" s="155"/>
      <c r="G727" s="106"/>
      <c r="H727" s="37" t="s">
        <v>421</v>
      </c>
    </row>
    <row r="728" spans="4:7" ht="10.5">
      <c r="D728" s="10"/>
      <c r="E728" s="152"/>
      <c r="F728" s="107"/>
      <c r="G728" s="107"/>
    </row>
    <row r="729" spans="4:7" ht="10.5">
      <c r="D729" s="10"/>
      <c r="E729" s="152"/>
      <c r="F729" s="107"/>
      <c r="G729" s="107"/>
    </row>
    <row r="730" spans="4:9" ht="10.5">
      <c r="D730" s="42">
        <f>E161</f>
        <v>2</v>
      </c>
      <c r="E730" s="154"/>
      <c r="F730" s="155"/>
      <c r="G730" s="155"/>
      <c r="H730" s="106"/>
      <c r="I730" s="10" t="s">
        <v>422</v>
      </c>
    </row>
    <row r="731" spans="5:8" ht="10.5">
      <c r="E731" s="152"/>
      <c r="F731" s="107"/>
      <c r="G731" s="107"/>
      <c r="H731" s="107"/>
    </row>
    <row r="732" spans="5:8" ht="10.5">
      <c r="E732" s="152"/>
      <c r="F732" s="107"/>
      <c r="G732" s="107"/>
      <c r="H732" s="107"/>
    </row>
    <row r="733" spans="5:8" ht="10.5">
      <c r="E733" s="152"/>
      <c r="F733" s="107"/>
      <c r="G733" s="107"/>
      <c r="H733" s="107"/>
    </row>
    <row r="734" spans="5:10" ht="13.5" thickBot="1">
      <c r="E734" s="153"/>
      <c r="F734" s="108"/>
      <c r="G734" s="108"/>
      <c r="H734" s="108"/>
      <c r="I734" s="18"/>
      <c r="J734" s="18"/>
    </row>
    <row r="735" spans="5:10" ht="10.5">
      <c r="E735" s="41">
        <f>E130</f>
        <v>3</v>
      </c>
      <c r="F735" s="41">
        <f>H272</f>
        <v>4</v>
      </c>
      <c r="G735" s="41">
        <f>H658</f>
        <v>4.5</v>
      </c>
      <c r="H735" s="41">
        <f>E159</f>
        <v>6</v>
      </c>
      <c r="I735" s="4"/>
      <c r="J735" s="10" t="s">
        <v>214</v>
      </c>
    </row>
    <row r="737" ht="13.5">
      <c r="C737" s="81" t="s">
        <v>423</v>
      </c>
    </row>
    <row r="738" ht="13.5">
      <c r="C738" s="71" t="s">
        <v>424</v>
      </c>
    </row>
    <row r="739" ht="13.5">
      <c r="C739" s="71" t="s">
        <v>425</v>
      </c>
    </row>
    <row r="740" ht="13.5">
      <c r="C740" s="71" t="s">
        <v>426</v>
      </c>
    </row>
    <row r="741" ht="13.5">
      <c r="C741" s="81" t="s">
        <v>427</v>
      </c>
    </row>
    <row r="742" ht="13.5">
      <c r="C742" s="71" t="s">
        <v>428</v>
      </c>
    </row>
    <row r="743" ht="15" thickBot="1">
      <c r="C743" s="71" t="s">
        <v>429</v>
      </c>
    </row>
    <row r="744" spans="3:11" ht="15" thickBot="1">
      <c r="C744" s="71" t="s">
        <v>430</v>
      </c>
      <c r="E744" s="157">
        <f>E150</f>
        <v>4.5</v>
      </c>
      <c r="F744" s="72" t="s">
        <v>431</v>
      </c>
      <c r="K744" s="158">
        <f>E130</f>
        <v>3</v>
      </c>
    </row>
    <row r="745" spans="3:8" ht="15" thickBot="1">
      <c r="C745" s="71" t="s">
        <v>432</v>
      </c>
      <c r="G745" s="157">
        <f>E136</f>
        <v>3.5</v>
      </c>
      <c r="H745" s="72" t="s">
        <v>433</v>
      </c>
    </row>
    <row r="746" spans="3:9" ht="15" thickBot="1">
      <c r="C746" s="71" t="s">
        <v>434</v>
      </c>
      <c r="H746" s="150">
        <f>E744/2</f>
        <v>2.25</v>
      </c>
      <c r="I746" s="72" t="s">
        <v>435</v>
      </c>
    </row>
    <row r="747" ht="13.5">
      <c r="C747" s="71" t="s">
        <v>436</v>
      </c>
    </row>
    <row r="748" ht="13.5">
      <c r="C748" s="71" t="s">
        <v>535</v>
      </c>
    </row>
    <row r="749" ht="13.5">
      <c r="C749" s="71" t="s">
        <v>536</v>
      </c>
    </row>
    <row r="750" ht="13.5">
      <c r="C750" s="71" t="s">
        <v>537</v>
      </c>
    </row>
    <row r="751" ht="13.5">
      <c r="C751" s="71" t="s">
        <v>538</v>
      </c>
    </row>
    <row r="752" ht="10.5">
      <c r="C752" s="33"/>
    </row>
    <row r="753" ht="13.5">
      <c r="C753" s="81" t="s">
        <v>539</v>
      </c>
    </row>
    <row r="754" ht="13.5">
      <c r="C754" s="71" t="s">
        <v>540</v>
      </c>
    </row>
    <row r="755" ht="13.5">
      <c r="C755" s="71" t="s">
        <v>541</v>
      </c>
    </row>
    <row r="756" ht="13.5">
      <c r="C756" s="71" t="s">
        <v>542</v>
      </c>
    </row>
    <row r="757" ht="13.5">
      <c r="C757" s="71" t="s">
        <v>65</v>
      </c>
    </row>
    <row r="758" ht="10.5">
      <c r="C758" s="33"/>
    </row>
    <row r="759" ht="13.5">
      <c r="C759" s="71" t="s">
        <v>543</v>
      </c>
    </row>
    <row r="760" ht="13.5">
      <c r="C760" s="71" t="s">
        <v>544</v>
      </c>
    </row>
    <row r="761" ht="13.5">
      <c r="C761" s="71" t="s">
        <v>545</v>
      </c>
    </row>
    <row r="762" ht="13.5">
      <c r="C762" s="71" t="s">
        <v>450</v>
      </c>
    </row>
    <row r="763" ht="13.5">
      <c r="C763" s="71" t="s">
        <v>451</v>
      </c>
    </row>
    <row r="764" ht="13.5">
      <c r="C764" s="71" t="s">
        <v>452</v>
      </c>
    </row>
    <row r="765" ht="13.5">
      <c r="C765" s="71" t="s">
        <v>453</v>
      </c>
    </row>
    <row r="766" ht="13.5">
      <c r="C766" s="71" t="s">
        <v>66</v>
      </c>
    </row>
    <row r="767" ht="13.5">
      <c r="C767" s="270" t="s">
        <v>454</v>
      </c>
    </row>
    <row r="768" ht="13.5">
      <c r="C768" s="71"/>
    </row>
    <row r="769" spans="3:6" ht="12.75" thickBot="1">
      <c r="C769" s="33"/>
      <c r="F769" s="74" t="s">
        <v>455</v>
      </c>
    </row>
    <row r="770" spans="3:8" ht="12.75" thickBot="1">
      <c r="C770" s="33"/>
      <c r="D770" s="207"/>
      <c r="E770" s="208"/>
      <c r="F770" s="267" t="s">
        <v>456</v>
      </c>
      <c r="G770" s="208"/>
      <c r="H770" s="210"/>
    </row>
    <row r="771" spans="3:7" ht="12">
      <c r="C771" s="33"/>
      <c r="D771" s="10" t="s">
        <v>457</v>
      </c>
      <c r="E771" s="14"/>
      <c r="F771" s="88"/>
      <c r="G771" s="14"/>
    </row>
    <row r="772" spans="3:7" ht="12.75">
      <c r="C772" s="175"/>
      <c r="D772"/>
      <c r="E772" s="14"/>
      <c r="F772" s="88"/>
      <c r="G772" s="14"/>
    </row>
    <row r="773" spans="3:7" ht="12">
      <c r="C773" s="175"/>
      <c r="E773" s="14"/>
      <c r="F773" s="88"/>
      <c r="G773" s="14"/>
    </row>
    <row r="774" spans="3:4" ht="12.75">
      <c r="C774" s="175"/>
      <c r="D774"/>
    </row>
    <row r="775" spans="3:4" ht="10.5">
      <c r="C775" s="33"/>
      <c r="D775" s="160"/>
    </row>
    <row r="776" spans="3:4" ht="10.5">
      <c r="C776" s="33"/>
      <c r="D776" s="13"/>
    </row>
    <row r="777" spans="3:4" ht="10.5">
      <c r="C777" s="33"/>
      <c r="D777" s="13"/>
    </row>
    <row r="778" spans="3:4" ht="10.5">
      <c r="C778" s="33"/>
      <c r="D778" s="13"/>
    </row>
    <row r="779" spans="3:4" ht="10.5">
      <c r="C779" s="33"/>
      <c r="D779" s="13"/>
    </row>
    <row r="780" spans="3:4" ht="10.5">
      <c r="C780" s="33"/>
      <c r="D780" s="13"/>
    </row>
    <row r="781" spans="3:4" ht="10.5">
      <c r="C781" s="33"/>
      <c r="D781" s="13"/>
    </row>
    <row r="782" spans="3:4" ht="10.5">
      <c r="C782" s="33"/>
      <c r="D782" s="13"/>
    </row>
    <row r="783" spans="3:4" ht="10.5">
      <c r="C783" s="32">
        <v>4</v>
      </c>
      <c r="D783" s="160" t="s">
        <v>458</v>
      </c>
    </row>
    <row r="784" spans="3:4" ht="10.5">
      <c r="C784" s="33"/>
      <c r="D784" s="13"/>
    </row>
    <row r="785" spans="3:6" ht="10.5">
      <c r="C785" s="33"/>
      <c r="D785" s="13"/>
      <c r="E785" s="2" t="s">
        <v>459</v>
      </c>
      <c r="F785" s="6"/>
    </row>
    <row r="786" spans="3:7" ht="10.5">
      <c r="C786" s="33"/>
      <c r="D786" s="13"/>
      <c r="G786" s="10" t="s">
        <v>460</v>
      </c>
    </row>
    <row r="787" spans="3:4" ht="10.5">
      <c r="C787" s="33"/>
      <c r="D787" s="163" t="s">
        <v>461</v>
      </c>
    </row>
    <row r="788" spans="3:4" ht="10.5">
      <c r="C788" s="32">
        <v>3</v>
      </c>
      <c r="D788" s="13"/>
    </row>
    <row r="789" spans="3:4" ht="10.5">
      <c r="C789" s="33"/>
      <c r="D789" s="13"/>
    </row>
    <row r="790" spans="3:7" ht="12.75">
      <c r="C790" s="33"/>
      <c r="D790" s="13"/>
      <c r="G790"/>
    </row>
    <row r="791" spans="3:7" ht="10.5">
      <c r="C791" s="33"/>
      <c r="D791" s="13"/>
      <c r="G791" s="14"/>
    </row>
    <row r="792" spans="3:10" ht="12" thickBot="1">
      <c r="C792" s="32">
        <v>2</v>
      </c>
      <c r="D792" s="168"/>
      <c r="E792" s="169"/>
      <c r="F792" s="169"/>
      <c r="G792" s="169" t="s">
        <v>462</v>
      </c>
      <c r="H792" s="170" t="s">
        <v>463</v>
      </c>
      <c r="I792" s="169"/>
      <c r="J792" s="5" t="s">
        <v>464</v>
      </c>
    </row>
    <row r="793" spans="3:7" ht="10.5">
      <c r="C793" s="9"/>
      <c r="D793" s="13"/>
      <c r="F793" s="14"/>
      <c r="G793" s="164"/>
    </row>
    <row r="794" spans="3:10" ht="12" thickBot="1">
      <c r="C794" s="32"/>
      <c r="D794" s="165"/>
      <c r="E794" s="166"/>
      <c r="F794" s="166"/>
      <c r="G794" s="167"/>
      <c r="H794" s="166"/>
      <c r="I794" s="166"/>
      <c r="J794" s="5" t="s">
        <v>465</v>
      </c>
    </row>
    <row r="795" spans="3:9" ht="10.5">
      <c r="C795" s="32"/>
      <c r="D795" s="13"/>
      <c r="E795" s="14"/>
      <c r="F795" s="14"/>
      <c r="G795" s="164"/>
      <c r="H795" s="14"/>
      <c r="I795" s="14"/>
    </row>
    <row r="796" spans="3:10" ht="12" thickBot="1">
      <c r="C796" s="32">
        <v>1</v>
      </c>
      <c r="D796" s="165"/>
      <c r="E796" s="166"/>
      <c r="F796" s="166"/>
      <c r="G796" s="171" t="s">
        <v>466</v>
      </c>
      <c r="H796" s="166"/>
      <c r="I796" s="166"/>
      <c r="J796" s="5" t="s">
        <v>467</v>
      </c>
    </row>
    <row r="797" ht="10.5">
      <c r="D797" s="13"/>
    </row>
    <row r="798" spans="4:7" ht="10.5">
      <c r="D798" s="13"/>
      <c r="G798" s="2" t="s">
        <v>468</v>
      </c>
    </row>
    <row r="799" ht="10.5">
      <c r="D799" s="13"/>
    </row>
    <row r="800" spans="4:10" ht="12" thickBot="1">
      <c r="D800" s="17"/>
      <c r="E800" s="18"/>
      <c r="F800" s="18"/>
      <c r="G800" s="161" t="s">
        <v>469</v>
      </c>
      <c r="H800" s="18"/>
      <c r="I800" s="18"/>
      <c r="J800" s="162" t="s">
        <v>470</v>
      </c>
    </row>
    <row r="801" spans="5:10" ht="10.5">
      <c r="E801" s="10">
        <v>3</v>
      </c>
      <c r="F801" s="10">
        <v>4</v>
      </c>
      <c r="G801" s="2">
        <v>5</v>
      </c>
      <c r="H801" s="2">
        <v>6</v>
      </c>
      <c r="J801" s="10" t="s">
        <v>214</v>
      </c>
    </row>
    <row r="802" ht="10.5">
      <c r="J802" s="10"/>
    </row>
    <row r="803" spans="3:4" ht="15" thickBot="1">
      <c r="C803" s="71" t="s">
        <v>471</v>
      </c>
      <c r="D803" s="14"/>
    </row>
    <row r="804" spans="3:10" ht="15" thickBot="1">
      <c r="C804" s="71" t="s">
        <v>472</v>
      </c>
      <c r="D804" s="14"/>
      <c r="G804" s="47">
        <f>E37</f>
        <v>5</v>
      </c>
      <c r="H804" s="20">
        <f>F37</f>
        <v>-1</v>
      </c>
      <c r="I804" s="24" t="s">
        <v>24</v>
      </c>
      <c r="J804" s="72" t="s">
        <v>473</v>
      </c>
    </row>
    <row r="805" spans="3:10" ht="15" thickBot="1">
      <c r="C805" s="71" t="s">
        <v>474</v>
      </c>
      <c r="I805" s="86">
        <f>4</f>
        <v>4</v>
      </c>
      <c r="J805" s="72" t="s">
        <v>475</v>
      </c>
    </row>
    <row r="806" spans="3:7" ht="13.5">
      <c r="C806" s="71" t="s">
        <v>476</v>
      </c>
      <c r="D806" s="6"/>
      <c r="E806" s="41"/>
      <c r="F806" s="41"/>
      <c r="G806" s="10"/>
    </row>
    <row r="807" ht="12" thickBot="1">
      <c r="C807" s="33"/>
    </row>
    <row r="808" spans="3:8" ht="15" thickBot="1">
      <c r="C808" s="1">
        <v>64</v>
      </c>
      <c r="D808" s="23" t="s">
        <v>477</v>
      </c>
      <c r="E808" s="20">
        <f>E33-1</f>
        <v>4</v>
      </c>
      <c r="F808" s="34">
        <f>F33/2</f>
        <v>-0.25</v>
      </c>
      <c r="G808" s="24" t="s">
        <v>24</v>
      </c>
      <c r="H808" s="72" t="s">
        <v>478</v>
      </c>
    </row>
    <row r="809" ht="10.5">
      <c r="C809" s="33"/>
    </row>
    <row r="810" ht="13.5">
      <c r="C810" s="71" t="s">
        <v>479</v>
      </c>
    </row>
    <row r="811" ht="12" thickBot="1">
      <c r="C811" s="33"/>
    </row>
    <row r="812" spans="3:7" ht="12" thickBot="1">
      <c r="C812" s="1">
        <v>65</v>
      </c>
      <c r="D812" s="49" t="s">
        <v>480</v>
      </c>
      <c r="E812" s="20">
        <f>E808</f>
        <v>4</v>
      </c>
      <c r="F812" s="20">
        <f>2*F808</f>
        <v>-0.5</v>
      </c>
      <c r="G812" s="24" t="s">
        <v>24</v>
      </c>
    </row>
    <row r="814" ht="13.5">
      <c r="C814" s="71" t="s">
        <v>481</v>
      </c>
    </row>
    <row r="815" ht="13.5">
      <c r="C815" s="71" t="s">
        <v>482</v>
      </c>
    </row>
    <row r="816" ht="13.5">
      <c r="C816" s="71" t="s">
        <v>483</v>
      </c>
    </row>
    <row r="817" ht="13.5">
      <c r="C817" s="71" t="s">
        <v>484</v>
      </c>
    </row>
    <row r="818" ht="13.5">
      <c r="C818" s="71" t="s">
        <v>485</v>
      </c>
    </row>
    <row r="819" ht="13.5">
      <c r="C819" s="71" t="s">
        <v>486</v>
      </c>
    </row>
    <row r="821" ht="13.5">
      <c r="C821" s="71" t="s">
        <v>487</v>
      </c>
    </row>
    <row r="822" ht="12" thickBot="1">
      <c r="C822" s="33"/>
    </row>
    <row r="823" spans="3:6" ht="15" thickBot="1">
      <c r="C823" s="71">
        <v>66</v>
      </c>
      <c r="D823" s="172" t="s">
        <v>578</v>
      </c>
      <c r="E823" s="173"/>
      <c r="F823" s="174"/>
    </row>
    <row r="824" ht="10.5">
      <c r="C824" s="33"/>
    </row>
    <row r="825" spans="3:6" ht="13.5">
      <c r="C825" s="71"/>
      <c r="D825" s="75" t="s">
        <v>579</v>
      </c>
      <c r="E825" s="74" t="s">
        <v>580</v>
      </c>
      <c r="F825" s="140">
        <f>3</f>
        <v>3</v>
      </c>
    </row>
    <row r="826" spans="3:4" ht="10.5">
      <c r="C826" s="33"/>
      <c r="D826" s="6"/>
    </row>
    <row r="827" spans="3:6" ht="12">
      <c r="C827" s="33"/>
      <c r="D827" s="75" t="s">
        <v>581</v>
      </c>
      <c r="E827" s="74" t="s">
        <v>582</v>
      </c>
      <c r="F827" s="140">
        <f>1.5</f>
        <v>1.5</v>
      </c>
    </row>
    <row r="829" ht="13.5">
      <c r="C829" s="71" t="s">
        <v>583</v>
      </c>
    </row>
    <row r="830" ht="13.5">
      <c r="C830" s="71" t="s">
        <v>584</v>
      </c>
    </row>
    <row r="831" ht="10.5">
      <c r="C831" s="33"/>
    </row>
    <row r="832" ht="13.5">
      <c r="C832" s="71" t="s">
        <v>67</v>
      </c>
    </row>
    <row r="833" ht="13.5">
      <c r="C833" s="270" t="s">
        <v>585</v>
      </c>
    </row>
    <row r="834" ht="13.5">
      <c r="C834" s="71" t="s">
        <v>586</v>
      </c>
    </row>
    <row r="835" ht="13.5">
      <c r="C835" s="71" t="s">
        <v>68</v>
      </c>
    </row>
    <row r="836" ht="13.5">
      <c r="C836" s="71" t="s">
        <v>69</v>
      </c>
    </row>
    <row r="837" ht="13.5">
      <c r="C837" s="71" t="s">
        <v>587</v>
      </c>
    </row>
    <row r="838" ht="13.5">
      <c r="C838" s="71" t="s">
        <v>588</v>
      </c>
    </row>
    <row r="839" ht="13.5">
      <c r="C839" s="71" t="s">
        <v>589</v>
      </c>
    </row>
    <row r="840" spans="1:3" ht="13.5">
      <c r="A840" s="79" t="s">
        <v>590</v>
      </c>
      <c r="C840" s="71"/>
    </row>
    <row r="841" spans="2:3" ht="13.5">
      <c r="B841" s="73" t="s">
        <v>591</v>
      </c>
      <c r="C841" s="71"/>
    </row>
    <row r="842" ht="13.5">
      <c r="C842" s="71" t="s">
        <v>517</v>
      </c>
    </row>
    <row r="843" ht="13.5">
      <c r="C843" s="71" t="s">
        <v>518</v>
      </c>
    </row>
    <row r="844" ht="13.5">
      <c r="C844" s="71" t="s">
        <v>519</v>
      </c>
    </row>
    <row r="845" ht="13.5">
      <c r="C845" s="71" t="s">
        <v>520</v>
      </c>
    </row>
    <row r="846" ht="13.5">
      <c r="C846" s="71" t="s">
        <v>521</v>
      </c>
    </row>
    <row r="847" ht="13.5">
      <c r="C847" s="71" t="s">
        <v>522</v>
      </c>
    </row>
    <row r="848" ht="10.5">
      <c r="C848" s="33"/>
    </row>
    <row r="849" ht="13.5">
      <c r="C849" s="71" t="s">
        <v>523</v>
      </c>
    </row>
    <row r="850" ht="13.5">
      <c r="C850" s="71" t="s">
        <v>524</v>
      </c>
    </row>
    <row r="851" ht="13.5">
      <c r="C851" s="270" t="s">
        <v>525</v>
      </c>
    </row>
    <row r="852" ht="13.5">
      <c r="C852" s="71" t="s">
        <v>526</v>
      </c>
    </row>
    <row r="853" ht="13.5">
      <c r="C853" s="71" t="s">
        <v>527</v>
      </c>
    </row>
    <row r="854" ht="13.5">
      <c r="C854" s="71" t="s">
        <v>528</v>
      </c>
    </row>
    <row r="855" ht="13.5">
      <c r="C855" s="71"/>
    </row>
    <row r="856" ht="13.5">
      <c r="C856" s="71" t="s">
        <v>529</v>
      </c>
    </row>
    <row r="857" ht="13.5">
      <c r="C857" s="71" t="s">
        <v>530</v>
      </c>
    </row>
    <row r="858" ht="13.5">
      <c r="C858" s="71" t="s">
        <v>531</v>
      </c>
    </row>
    <row r="859" ht="13.5">
      <c r="C859" s="71" t="s">
        <v>532</v>
      </c>
    </row>
    <row r="860" ht="13.5">
      <c r="C860" s="71" t="s">
        <v>533</v>
      </c>
    </row>
    <row r="861" ht="13.5">
      <c r="C861" s="71" t="s">
        <v>534</v>
      </c>
    </row>
    <row r="862" ht="13.5">
      <c r="C862" s="71" t="s">
        <v>614</v>
      </c>
    </row>
    <row r="863" ht="13.5">
      <c r="C863" s="71" t="s">
        <v>615</v>
      </c>
    </row>
    <row r="864" ht="13.5">
      <c r="C864" s="71"/>
    </row>
    <row r="865" ht="13.5">
      <c r="C865" s="71" t="s">
        <v>616</v>
      </c>
    </row>
    <row r="866" ht="13.5">
      <c r="C866" s="71" t="s">
        <v>617</v>
      </c>
    </row>
    <row r="867" ht="13.5">
      <c r="C867" s="71" t="s">
        <v>618</v>
      </c>
    </row>
    <row r="868" ht="13.5">
      <c r="C868" s="81" t="s">
        <v>619</v>
      </c>
    </row>
    <row r="869" ht="13.5">
      <c r="C869" s="71" t="s">
        <v>620</v>
      </c>
    </row>
    <row r="870" ht="13.5">
      <c r="C870" s="71"/>
    </row>
    <row r="871" ht="13.5">
      <c r="C871" s="71" t="s">
        <v>621</v>
      </c>
    </row>
    <row r="872" ht="13.5">
      <c r="C872" s="71" t="s">
        <v>622</v>
      </c>
    </row>
    <row r="873" ht="13.5">
      <c r="C873" s="71" t="s">
        <v>623</v>
      </c>
    </row>
    <row r="874" ht="13.5">
      <c r="C874" s="71"/>
    </row>
    <row r="875" spans="3:7" ht="15" thickBot="1">
      <c r="C875" s="71"/>
      <c r="D875" s="71"/>
      <c r="G875" s="91" t="s">
        <v>624</v>
      </c>
    </row>
    <row r="876" spans="3:10" ht="15" thickBot="1">
      <c r="C876" s="71"/>
      <c r="D876" s="71"/>
      <c r="E876" s="271"/>
      <c r="F876" s="272"/>
      <c r="G876" s="267" t="s">
        <v>625</v>
      </c>
      <c r="H876" s="272"/>
      <c r="I876" s="272"/>
      <c r="J876" s="210"/>
    </row>
    <row r="877" spans="3:10" ht="13.5">
      <c r="C877" s="71"/>
      <c r="D877" s="71"/>
      <c r="E877" s="14"/>
      <c r="F877" s="14"/>
      <c r="G877" s="88"/>
      <c r="H877" s="14"/>
      <c r="I877" s="14"/>
      <c r="J877" s="14"/>
    </row>
    <row r="878" spans="3:7" ht="13.5">
      <c r="C878" s="71"/>
      <c r="D878" s="71"/>
      <c r="G878" s="185" t="s">
        <v>626</v>
      </c>
    </row>
    <row r="879" spans="3:10" ht="15" thickBot="1">
      <c r="C879" s="71"/>
      <c r="D879" s="71"/>
      <c r="F879" s="2" t="s">
        <v>628</v>
      </c>
      <c r="G879" s="2" t="s">
        <v>546</v>
      </c>
      <c r="H879" s="2" t="s">
        <v>547</v>
      </c>
      <c r="I879" s="10" t="s">
        <v>548</v>
      </c>
      <c r="J879" s="10" t="s">
        <v>549</v>
      </c>
    </row>
    <row r="880" spans="3:10" ht="13.5">
      <c r="C880" s="71"/>
      <c r="D880" s="71"/>
      <c r="E880" s="6" t="s">
        <v>550</v>
      </c>
      <c r="F880" s="186">
        <v>3</v>
      </c>
      <c r="G880" s="195">
        <v>0</v>
      </c>
      <c r="H880" s="187">
        <v>7</v>
      </c>
      <c r="I880" s="3">
        <f>MIN(F880:H880)</f>
        <v>0</v>
      </c>
      <c r="J880" s="10"/>
    </row>
    <row r="881" spans="3:9" ht="13.5">
      <c r="C881" s="71"/>
      <c r="D881" s="194" t="s">
        <v>551</v>
      </c>
      <c r="E881" s="6" t="s">
        <v>552</v>
      </c>
      <c r="F881" s="188">
        <v>-4</v>
      </c>
      <c r="G881" s="189">
        <v>-3</v>
      </c>
      <c r="H881" s="190">
        <v>2</v>
      </c>
      <c r="I881" s="3">
        <f>MIN(F881:H881)</f>
        <v>-4</v>
      </c>
    </row>
    <row r="882" spans="3:9" ht="15" thickBot="1">
      <c r="C882" s="71"/>
      <c r="D882" s="71"/>
      <c r="E882" s="6" t="s">
        <v>553</v>
      </c>
      <c r="F882" s="191">
        <v>5</v>
      </c>
      <c r="G882" s="192">
        <v>-2</v>
      </c>
      <c r="H882" s="193">
        <v>-6</v>
      </c>
      <c r="I882" s="3">
        <f>MIN(F882:H882)</f>
        <v>-6</v>
      </c>
    </row>
    <row r="883" spans="3:8" ht="13.5">
      <c r="C883" s="71"/>
      <c r="D883" s="71"/>
      <c r="E883" s="6" t="s">
        <v>554</v>
      </c>
      <c r="F883" s="3">
        <f>MAX(F880:F882)</f>
        <v>5</v>
      </c>
      <c r="G883" s="3">
        <f>MAX(G880:G882)</f>
        <v>0</v>
      </c>
      <c r="H883" s="3">
        <f>MAX(H880:H882)</f>
        <v>7</v>
      </c>
    </row>
    <row r="884" spans="3:8" ht="13.5">
      <c r="C884" s="71"/>
      <c r="D884" s="71"/>
      <c r="E884" s="6" t="s">
        <v>555</v>
      </c>
      <c r="F884" s="54"/>
      <c r="G884" s="3"/>
      <c r="H884" s="54"/>
    </row>
    <row r="885" spans="3:8" ht="15" thickBot="1">
      <c r="C885" s="71"/>
      <c r="D885" s="71"/>
      <c r="E885" s="6"/>
      <c r="F885" s="54"/>
      <c r="G885" s="41" t="s">
        <v>556</v>
      </c>
      <c r="H885" s="2" t="s">
        <v>557</v>
      </c>
    </row>
    <row r="886" spans="3:21" ht="13.5">
      <c r="C886" s="71"/>
      <c r="D886" s="71"/>
      <c r="E886" s="6" t="s">
        <v>558</v>
      </c>
      <c r="F886" s="3" t="s">
        <v>551</v>
      </c>
      <c r="G886" s="196" t="str">
        <f>IF(I880&gt;MAX(I881:I882),E880,IF(I881&gt;MAX(I880,I882),E881,IF(I882&gt;MAX(I880,I881),E882,0)))</f>
        <v>A1</v>
      </c>
      <c r="H886" s="196">
        <f>MAX(I880:I882)</f>
        <v>0</v>
      </c>
      <c r="R886" s="283" t="s">
        <v>626</v>
      </c>
      <c r="U886" s="277" t="s">
        <v>627</v>
      </c>
    </row>
    <row r="887" spans="3:21" ht="15" thickBot="1">
      <c r="C887" s="71"/>
      <c r="D887" s="71"/>
      <c r="E887" s="6"/>
      <c r="F887" s="3" t="s">
        <v>626</v>
      </c>
      <c r="G887" s="197" t="str">
        <f>IF(F883&lt;MIN(G883,H883),F879,IF(G883&lt;MIN(F883,H883),G879,IF(H883&lt;MIN(F883:G883),H879,0)))</f>
        <v>B2</v>
      </c>
      <c r="H887" s="206">
        <f>MIN(F883:H883)</f>
        <v>0</v>
      </c>
      <c r="Q887" s="277" t="s">
        <v>628</v>
      </c>
      <c r="R887" s="277" t="s">
        <v>546</v>
      </c>
      <c r="S887" s="277" t="s">
        <v>547</v>
      </c>
      <c r="T887" s="276" t="s">
        <v>548</v>
      </c>
      <c r="U887" s="277">
        <f>MDETERM(Q888:S890)</f>
        <v>227</v>
      </c>
    </row>
    <row r="888" spans="3:20" ht="13.5">
      <c r="C888" s="71"/>
      <c r="D888" s="6"/>
      <c r="E888" s="54"/>
      <c r="F888" s="54"/>
      <c r="G888" s="54"/>
      <c r="P888" s="275" t="s">
        <v>550</v>
      </c>
      <c r="Q888" s="284">
        <v>3</v>
      </c>
      <c r="R888" s="285">
        <v>0</v>
      </c>
      <c r="S888" s="286">
        <v>7</v>
      </c>
      <c r="T888" s="287">
        <f>MIN(Q888:S888)</f>
        <v>0</v>
      </c>
    </row>
    <row r="889" spans="3:20" ht="13.5">
      <c r="C889" s="71" t="s">
        <v>559</v>
      </c>
      <c r="P889" s="275" t="s">
        <v>552</v>
      </c>
      <c r="Q889" s="288">
        <v>-4</v>
      </c>
      <c r="R889" s="289">
        <v>-3</v>
      </c>
      <c r="S889" s="290">
        <v>2</v>
      </c>
      <c r="T889" s="287">
        <f>MIN(Q889:S889)</f>
        <v>-4</v>
      </c>
    </row>
    <row r="890" spans="3:20" ht="15" thickBot="1">
      <c r="C890" s="71" t="s">
        <v>562</v>
      </c>
      <c r="P890" s="275" t="s">
        <v>553</v>
      </c>
      <c r="Q890" s="291">
        <v>5</v>
      </c>
      <c r="R890" s="292">
        <v>-2</v>
      </c>
      <c r="S890" s="293">
        <v>-6</v>
      </c>
      <c r="T890" s="287">
        <f>MIN(Q890:S890)</f>
        <v>-6</v>
      </c>
    </row>
    <row r="891" spans="3:19" ht="13.5">
      <c r="C891" s="71" t="s">
        <v>563</v>
      </c>
      <c r="P891" s="275" t="s">
        <v>554</v>
      </c>
      <c r="Q891" s="287">
        <f>MAX(Q888:Q890)</f>
        <v>5</v>
      </c>
      <c r="R891" s="287">
        <f>MAX(R888:R890)</f>
        <v>0</v>
      </c>
      <c r="S891" s="287">
        <f>MAX(S888:S890)</f>
        <v>7</v>
      </c>
    </row>
    <row r="892" spans="3:19" ht="13.5">
      <c r="C892" s="71" t="s">
        <v>564</v>
      </c>
      <c r="P892" s="275" t="s">
        <v>555</v>
      </c>
      <c r="Q892" s="287"/>
      <c r="R892" s="287"/>
      <c r="S892" s="287"/>
    </row>
    <row r="893" spans="3:19" ht="15" thickBot="1">
      <c r="C893" s="71" t="s">
        <v>566</v>
      </c>
      <c r="P893" s="275"/>
      <c r="Q893" s="287"/>
      <c r="R893" s="294" t="s">
        <v>556</v>
      </c>
      <c r="S893" s="277" t="s">
        <v>557</v>
      </c>
    </row>
    <row r="894" spans="3:19" ht="13.5">
      <c r="C894" s="71" t="s">
        <v>567</v>
      </c>
      <c r="P894" s="275" t="s">
        <v>558</v>
      </c>
      <c r="Q894" s="287" t="s">
        <v>551</v>
      </c>
      <c r="R894" s="295" t="str">
        <f>IF(T888&gt;MAX(T889:T890),P888,IF(T889&gt;MAX(T888,T890),P889,IF(T890&gt;MAX(T888,T889),P890,0)))</f>
        <v>A1</v>
      </c>
      <c r="S894" s="295">
        <f>MAX(T888:T890)</f>
        <v>0</v>
      </c>
    </row>
    <row r="895" spans="3:19" ht="15" thickBot="1">
      <c r="C895" s="71" t="s">
        <v>568</v>
      </c>
      <c r="P895" s="275"/>
      <c r="Q895" s="287" t="s">
        <v>626</v>
      </c>
      <c r="R895" s="296" t="str">
        <f>IF(Q891&lt;MIN(R891,S891),Q887,IF(R891&lt;MIN(Q891,S891),R887,IF(S891&lt;MIN(Q891:R891),S887,0)))</f>
        <v>B2</v>
      </c>
      <c r="S895" s="297">
        <f>MIN(Q891:S891)</f>
        <v>0</v>
      </c>
    </row>
    <row r="896" ht="10.5">
      <c r="C896" s="33"/>
    </row>
    <row r="897" spans="3:21" ht="15" thickBot="1">
      <c r="C897" s="71" t="s">
        <v>569</v>
      </c>
      <c r="O897" s="298"/>
      <c r="P897" s="299" t="s">
        <v>560</v>
      </c>
      <c r="Q897" s="300"/>
      <c r="R897" s="300" t="s">
        <v>561</v>
      </c>
      <c r="S897" s="300"/>
      <c r="T897" s="300"/>
      <c r="U897" s="301" t="s">
        <v>627</v>
      </c>
    </row>
    <row r="898" spans="3:21" ht="15" thickBot="1">
      <c r="C898" s="71" t="s">
        <v>570</v>
      </c>
      <c r="O898" s="302"/>
      <c r="P898" s="303"/>
      <c r="Q898" s="304" t="s">
        <v>628</v>
      </c>
      <c r="R898" s="304" t="s">
        <v>546</v>
      </c>
      <c r="S898" s="304" t="s">
        <v>547</v>
      </c>
      <c r="T898" s="305" t="s">
        <v>548</v>
      </c>
      <c r="U898" s="306">
        <f>MDETERM(Q899:S901)</f>
        <v>0.004405286343612335</v>
      </c>
    </row>
    <row r="899" spans="3:21" ht="13.5">
      <c r="C899" s="71" t="s">
        <v>571</v>
      </c>
      <c r="O899" s="302"/>
      <c r="P899" s="305" t="s">
        <v>550</v>
      </c>
      <c r="Q899" s="307">
        <f aca="true" t="array" ref="Q899:S901">MINVERSE(Q888:S890)</f>
        <v>0.09691629955947136</v>
      </c>
      <c r="R899" s="308">
        <v>-0.0616740088105727</v>
      </c>
      <c r="S899" s="309">
        <v>0.09251101321585904</v>
      </c>
      <c r="T899" s="310">
        <f>MIN(Q899:S899)</f>
        <v>-0.0616740088105727</v>
      </c>
      <c r="U899" s="311"/>
    </row>
    <row r="900" spans="3:21" ht="13.5">
      <c r="C900" s="71" t="s">
        <v>572</v>
      </c>
      <c r="O900" s="302"/>
      <c r="P900" s="305" t="s">
        <v>565</v>
      </c>
      <c r="Q900" s="312">
        <v>-0.0616740088105727</v>
      </c>
      <c r="R900" s="313">
        <v>-0.23348017621145378</v>
      </c>
      <c r="S900" s="314">
        <v>-0.14977973568281938</v>
      </c>
      <c r="T900" s="310">
        <f>MIN(Q900:S900)</f>
        <v>-0.23348017621145378</v>
      </c>
      <c r="U900" s="311"/>
    </row>
    <row r="901" spans="3:21" ht="12" thickBot="1">
      <c r="C901" s="33"/>
      <c r="O901" s="302"/>
      <c r="P901" s="305" t="s">
        <v>553</v>
      </c>
      <c r="Q901" s="291">
        <v>0.1013215859030837</v>
      </c>
      <c r="R901" s="315">
        <v>0.026431718061674006</v>
      </c>
      <c r="S901" s="316">
        <v>-0.03964757709251101</v>
      </c>
      <c r="T901" s="310">
        <f>MIN(Q901:S901)</f>
        <v>-0.03964757709251101</v>
      </c>
      <c r="U901" s="311"/>
    </row>
    <row r="902" spans="3:21" ht="13.5">
      <c r="C902" s="71" t="s">
        <v>573</v>
      </c>
      <c r="O902" s="302"/>
      <c r="P902" s="305" t="s">
        <v>554</v>
      </c>
      <c r="Q902" s="310">
        <f>MAX(Q899:Q901)</f>
        <v>0.1013215859030837</v>
      </c>
      <c r="R902" s="310">
        <f>MAX(R899:R901)</f>
        <v>0.026431718061674006</v>
      </c>
      <c r="S902" s="310">
        <f>MAX(S899:S901)</f>
        <v>0.09251101321585904</v>
      </c>
      <c r="T902" s="303"/>
      <c r="U902" s="311"/>
    </row>
    <row r="903" spans="3:21" ht="13.5">
      <c r="C903" s="71" t="s">
        <v>574</v>
      </c>
      <c r="O903" s="302"/>
      <c r="P903" s="303"/>
      <c r="Q903" s="303"/>
      <c r="R903" s="303"/>
      <c r="S903" s="303"/>
      <c r="T903" s="303"/>
      <c r="U903" s="311"/>
    </row>
    <row r="904" spans="3:21" ht="15" thickBot="1">
      <c r="C904" s="81" t="s">
        <v>575</v>
      </c>
      <c r="O904" s="302"/>
      <c r="P904" s="303"/>
      <c r="Q904" s="303"/>
      <c r="R904" s="303"/>
      <c r="S904" s="303"/>
      <c r="T904" s="303"/>
      <c r="U904" s="311"/>
    </row>
    <row r="905" spans="3:21" ht="13.5">
      <c r="C905" s="71" t="s">
        <v>576</v>
      </c>
      <c r="O905" s="302"/>
      <c r="P905" s="303"/>
      <c r="Q905" s="310" t="s">
        <v>551</v>
      </c>
      <c r="R905" s="295" t="str">
        <f>IF(T899&gt;MAX(T900:T901),P899,IF(T900&gt;MAX(T899,T901),P900,IF(T901&gt;MAX(T899,T900),P901,0)))</f>
        <v>A3</v>
      </c>
      <c r="S905" s="295">
        <f>MAX(T899:T901)</f>
        <v>-0.03964757709251101</v>
      </c>
      <c r="T905" s="303"/>
      <c r="U905" s="311"/>
    </row>
    <row r="906" spans="3:21" ht="13.5">
      <c r="C906" s="71" t="s">
        <v>577</v>
      </c>
      <c r="O906" s="317"/>
      <c r="P906" s="318"/>
      <c r="Q906" s="319" t="s">
        <v>626</v>
      </c>
      <c r="R906" s="320" t="str">
        <f>IF(Q902&lt;MIN(R902,S902),Q898,IF(R902&lt;MIN(Q902,S902),R898,IF(S902&lt;MIN(Q902:R902),S898,0)))</f>
        <v>B2</v>
      </c>
      <c r="S906" s="321">
        <f>MIN(Q902:S902)</f>
        <v>0.026431718061674006</v>
      </c>
      <c r="T906" s="318"/>
      <c r="U906" s="322"/>
    </row>
    <row r="907" ht="10.5">
      <c r="C907" s="33"/>
    </row>
    <row r="908" ht="13.5">
      <c r="C908" s="71" t="s">
        <v>655</v>
      </c>
    </row>
    <row r="909" ht="13.5">
      <c r="C909" s="71" t="s">
        <v>656</v>
      </c>
    </row>
    <row r="910" ht="13.5">
      <c r="C910" s="71" t="s">
        <v>657</v>
      </c>
    </row>
    <row r="911" ht="13.5">
      <c r="C911" s="81" t="s">
        <v>658</v>
      </c>
    </row>
    <row r="912" ht="13.5">
      <c r="C912" s="71" t="s">
        <v>659</v>
      </c>
    </row>
    <row r="913" ht="13.5">
      <c r="C913" s="71" t="s">
        <v>660</v>
      </c>
    </row>
    <row r="914" ht="13.5">
      <c r="C914" s="71" t="s">
        <v>70</v>
      </c>
    </row>
    <row r="915" ht="13.5">
      <c r="C915" s="270" t="s">
        <v>71</v>
      </c>
    </row>
    <row r="916" ht="10.5">
      <c r="C916" s="33"/>
    </row>
    <row r="917" ht="13.5">
      <c r="C917" s="71" t="s">
        <v>661</v>
      </c>
    </row>
    <row r="918" ht="13.5">
      <c r="C918" s="71" t="s">
        <v>662</v>
      </c>
    </row>
    <row r="919" ht="13.5">
      <c r="C919" s="71" t="s">
        <v>663</v>
      </c>
    </row>
    <row r="920" ht="13.5">
      <c r="C920" s="71" t="s">
        <v>592</v>
      </c>
    </row>
    <row r="921" ht="13.5">
      <c r="C921" s="71" t="s">
        <v>593</v>
      </c>
    </row>
    <row r="922" ht="10.5">
      <c r="C922" s="33"/>
    </row>
    <row r="923" ht="13.5">
      <c r="C923" s="71" t="s">
        <v>594</v>
      </c>
    </row>
    <row r="924" ht="13.5">
      <c r="C924" s="71" t="s">
        <v>595</v>
      </c>
    </row>
    <row r="925" ht="13.5">
      <c r="C925" s="71" t="s">
        <v>596</v>
      </c>
    </row>
    <row r="926" ht="13.5">
      <c r="C926" s="71"/>
    </row>
    <row r="927" ht="13.5">
      <c r="C927" s="71"/>
    </row>
    <row r="928" ht="13.5">
      <c r="C928" s="71"/>
    </row>
    <row r="929" ht="13.5">
      <c r="C929" s="71"/>
    </row>
    <row r="930" ht="13.5">
      <c r="C930" s="71"/>
    </row>
    <row r="931" ht="13.5">
      <c r="C931" s="71"/>
    </row>
    <row r="932" ht="13.5">
      <c r="C932" s="71"/>
    </row>
    <row r="933" ht="13.5">
      <c r="C933" s="71"/>
    </row>
    <row r="934" ht="13.5">
      <c r="C934" s="71"/>
    </row>
    <row r="935" ht="13.5">
      <c r="C935" s="71"/>
    </row>
    <row r="936" ht="13.5">
      <c r="C936" s="71"/>
    </row>
    <row r="937" spans="3:7" ht="15" thickBot="1">
      <c r="C937" s="198"/>
      <c r="D937" s="71"/>
      <c r="G937" s="91" t="s">
        <v>597</v>
      </c>
    </row>
    <row r="938" spans="3:19" ht="15" thickBot="1">
      <c r="C938" s="198"/>
      <c r="D938" s="71"/>
      <c r="E938" s="271"/>
      <c r="F938" s="272"/>
      <c r="G938" s="267" t="s">
        <v>598</v>
      </c>
      <c r="H938" s="272"/>
      <c r="I938" s="272"/>
      <c r="J938" s="210"/>
      <c r="P938" s="323"/>
      <c r="S938" s="283" t="s">
        <v>626</v>
      </c>
    </row>
    <row r="939" spans="3:22" ht="15" thickBot="1">
      <c r="C939" s="198"/>
      <c r="D939" s="71"/>
      <c r="E939" s="14"/>
      <c r="F939" s="14"/>
      <c r="G939" s="88"/>
      <c r="H939" s="14"/>
      <c r="I939" s="14"/>
      <c r="J939" s="14"/>
      <c r="P939" s="323"/>
      <c r="R939" s="277" t="s">
        <v>628</v>
      </c>
      <c r="S939" s="277" t="s">
        <v>546</v>
      </c>
      <c r="T939" s="277" t="s">
        <v>547</v>
      </c>
      <c r="U939" s="276" t="s">
        <v>548</v>
      </c>
      <c r="V939" s="276" t="s">
        <v>549</v>
      </c>
    </row>
    <row r="940" spans="3:21" ht="13.5">
      <c r="C940" s="198"/>
      <c r="D940" s="71"/>
      <c r="G940" s="185" t="s">
        <v>626</v>
      </c>
      <c r="P940" s="323"/>
      <c r="Q940" s="275" t="s">
        <v>550</v>
      </c>
      <c r="R940" s="284">
        <v>3</v>
      </c>
      <c r="S940" s="285">
        <v>7</v>
      </c>
      <c r="T940" s="286">
        <v>0</v>
      </c>
      <c r="U940" s="287">
        <f>MIN(R940:T940)</f>
        <v>0</v>
      </c>
    </row>
    <row r="941" spans="3:21" ht="15" thickBot="1">
      <c r="C941" s="198"/>
      <c r="D941" s="71"/>
      <c r="F941" s="2" t="s">
        <v>628</v>
      </c>
      <c r="G941" s="2" t="s">
        <v>546</v>
      </c>
      <c r="H941" s="2" t="s">
        <v>547</v>
      </c>
      <c r="I941" s="10" t="s">
        <v>548</v>
      </c>
      <c r="J941" s="10" t="s">
        <v>549</v>
      </c>
      <c r="P941" s="324" t="s">
        <v>551</v>
      </c>
      <c r="Q941" s="275" t="s">
        <v>552</v>
      </c>
      <c r="R941" s="288">
        <v>-4</v>
      </c>
      <c r="S941" s="289">
        <v>-3</v>
      </c>
      <c r="T941" s="290">
        <v>2</v>
      </c>
      <c r="U941" s="287">
        <f>MIN(R941:T941)</f>
        <v>-4</v>
      </c>
    </row>
    <row r="942" spans="3:21" ht="15" thickBot="1">
      <c r="C942" s="198"/>
      <c r="D942" s="71"/>
      <c r="E942" s="6" t="s">
        <v>550</v>
      </c>
      <c r="F942" s="186">
        <v>3</v>
      </c>
      <c r="G942" s="195">
        <v>7</v>
      </c>
      <c r="H942" s="187">
        <v>0</v>
      </c>
      <c r="I942" s="3">
        <f>MIN(F942:H942)</f>
        <v>0</v>
      </c>
      <c r="J942" s="10"/>
      <c r="P942" s="323"/>
      <c r="Q942" s="275" t="s">
        <v>553</v>
      </c>
      <c r="R942" s="291">
        <v>5</v>
      </c>
      <c r="S942" s="292">
        <v>-2</v>
      </c>
      <c r="T942" s="293">
        <v>-6</v>
      </c>
      <c r="U942" s="287">
        <f>MIN(R942:T942)</f>
        <v>-6</v>
      </c>
    </row>
    <row r="943" spans="3:20" ht="12">
      <c r="C943" s="198"/>
      <c r="D943" s="194" t="s">
        <v>551</v>
      </c>
      <c r="E943" s="6" t="s">
        <v>552</v>
      </c>
      <c r="F943" s="188">
        <v>-4</v>
      </c>
      <c r="G943" s="189">
        <v>-3</v>
      </c>
      <c r="H943" s="190">
        <v>2</v>
      </c>
      <c r="I943" s="3">
        <f>MIN(F943:H943)</f>
        <v>-4</v>
      </c>
      <c r="P943" s="323"/>
      <c r="Q943" s="275" t="s">
        <v>554</v>
      </c>
      <c r="R943" s="287">
        <f>MAX(R940:R942)</f>
        <v>5</v>
      </c>
      <c r="S943" s="287">
        <f>MAX(S940:S942)</f>
        <v>7</v>
      </c>
      <c r="T943" s="287">
        <f>MAX(T940:T942)</f>
        <v>2</v>
      </c>
    </row>
    <row r="944" spans="3:20" ht="15" thickBot="1">
      <c r="C944" s="198"/>
      <c r="D944" s="71"/>
      <c r="E944" s="6" t="s">
        <v>553</v>
      </c>
      <c r="F944" s="191">
        <v>5</v>
      </c>
      <c r="G944" s="192">
        <v>-2</v>
      </c>
      <c r="H944" s="193">
        <v>-6</v>
      </c>
      <c r="I944" s="3">
        <f>MIN(F944:H944)</f>
        <v>-6</v>
      </c>
      <c r="P944" s="323"/>
      <c r="Q944" s="275" t="s">
        <v>555</v>
      </c>
      <c r="R944" s="287"/>
      <c r="S944" s="287"/>
      <c r="T944" s="287"/>
    </row>
    <row r="945" spans="3:20" ht="15" thickBot="1">
      <c r="C945" s="198"/>
      <c r="D945" s="71"/>
      <c r="E945" s="6" t="s">
        <v>554</v>
      </c>
      <c r="F945" s="3">
        <f>MAX(F942:F944)</f>
        <v>5</v>
      </c>
      <c r="G945" s="3">
        <f>MAX(G942:G944)</f>
        <v>7</v>
      </c>
      <c r="H945" s="3">
        <f>MAX(H942:H944)</f>
        <v>2</v>
      </c>
      <c r="P945" s="323"/>
      <c r="Q945" s="275"/>
      <c r="R945" s="287"/>
      <c r="S945" s="280" t="s">
        <v>556</v>
      </c>
      <c r="T945" s="277" t="s">
        <v>557</v>
      </c>
    </row>
    <row r="946" spans="3:21" ht="13.5">
      <c r="C946" s="198"/>
      <c r="D946" s="71"/>
      <c r="E946" s="6" t="s">
        <v>555</v>
      </c>
      <c r="F946" s="54"/>
      <c r="G946" s="3"/>
      <c r="H946" s="54"/>
      <c r="P946" s="323"/>
      <c r="Q946" s="275" t="s">
        <v>558</v>
      </c>
      <c r="R946" s="287" t="s">
        <v>551</v>
      </c>
      <c r="S946" s="295" t="str">
        <f>IF(U940&gt;MAX(U941:U942),Q940,IF(U941&gt;MAX(U940,U942),Q941,IF(U942&gt;MAX(U940,U941),Q942,0)))</f>
        <v>A1</v>
      </c>
      <c r="T946" s="295">
        <f>MAX(U940:U942)</f>
        <v>0</v>
      </c>
      <c r="U946" s="276" t="s">
        <v>599</v>
      </c>
    </row>
    <row r="947" spans="3:21" ht="15" thickBot="1">
      <c r="C947" s="198"/>
      <c r="D947" s="71"/>
      <c r="E947" s="6"/>
      <c r="F947" s="54"/>
      <c r="G947" s="41" t="s">
        <v>556</v>
      </c>
      <c r="H947" s="2" t="s">
        <v>557</v>
      </c>
      <c r="P947" s="323"/>
      <c r="Q947" s="275"/>
      <c r="R947" s="287" t="s">
        <v>626</v>
      </c>
      <c r="S947" s="296" t="str">
        <f>IF(R943&lt;MIN(S943,T943),R939,IF(S943&lt;MIN(R943,T943),S939,IF(T943&lt;MIN(R943:S943),T939,0)))</f>
        <v>B3</v>
      </c>
      <c r="T947" s="297">
        <f>MIN(R943:T943)</f>
        <v>2</v>
      </c>
      <c r="U947" s="276" t="s">
        <v>600</v>
      </c>
    </row>
    <row r="948" spans="1:22" s="72" customFormat="1" ht="13.5">
      <c r="A948" s="6"/>
      <c r="B948" s="5"/>
      <c r="C948" s="198"/>
      <c r="D948" s="71"/>
      <c r="E948" s="6" t="s">
        <v>558</v>
      </c>
      <c r="F948" s="3" t="s">
        <v>551</v>
      </c>
      <c r="G948" s="196" t="str">
        <f>IF(I942&gt;MAX(I943:I944),E942,IF(I943&gt;MAX(I942,I944),E943,IF(I944&gt;MAX(I942,I943),E944,0)))</f>
        <v>A1</v>
      </c>
      <c r="H948" s="196">
        <f>MAX(I942:I944)</f>
        <v>0</v>
      </c>
      <c r="I948" s="10" t="s">
        <v>599</v>
      </c>
      <c r="J948" s="5"/>
      <c r="K948" s="5"/>
      <c r="L948" s="5"/>
      <c r="M948" s="5"/>
      <c r="N948" s="276"/>
      <c r="O948" s="276"/>
      <c r="P948" s="276"/>
      <c r="Q948" s="276"/>
      <c r="R948" s="276"/>
      <c r="S948" s="276"/>
      <c r="T948" s="276"/>
      <c r="U948" s="276"/>
      <c r="V948" s="276"/>
    </row>
    <row r="949" spans="1:22" s="72" customFormat="1" ht="15" thickBot="1">
      <c r="A949" s="85"/>
      <c r="B949" s="5"/>
      <c r="C949" s="198"/>
      <c r="D949" s="71"/>
      <c r="E949" s="6"/>
      <c r="F949" s="3" t="s">
        <v>626</v>
      </c>
      <c r="G949" s="197" t="str">
        <f>IF(F945&lt;MIN(G945,H945),F941,IF(G945&lt;MIN(F945,H945),G941,IF(H945&lt;MIN(F945:G945),H941,0)))</f>
        <v>B3</v>
      </c>
      <c r="H949" s="206">
        <f>MIN(F945:H945)</f>
        <v>2</v>
      </c>
      <c r="I949" s="10" t="s">
        <v>600</v>
      </c>
      <c r="J949" s="5"/>
      <c r="K949" s="5"/>
      <c r="L949" s="5"/>
      <c r="M949" s="5"/>
      <c r="N949" s="276"/>
      <c r="O949" s="276"/>
      <c r="P949" s="276"/>
      <c r="Q949" s="276"/>
      <c r="R949" s="276"/>
      <c r="S949" s="276"/>
      <c r="T949" s="276"/>
      <c r="U949" s="276"/>
      <c r="V949" s="276"/>
    </row>
    <row r="950" spans="1:22" s="72" customFormat="1" ht="13.5">
      <c r="A950" s="85"/>
      <c r="C950" s="71"/>
      <c r="N950" s="276"/>
      <c r="O950" s="276"/>
      <c r="P950" s="276"/>
      <c r="Q950" s="276"/>
      <c r="R950" s="276"/>
      <c r="S950" s="276"/>
      <c r="T950" s="276"/>
      <c r="U950" s="276"/>
      <c r="V950" s="276"/>
    </row>
    <row r="951" spans="1:22" s="72" customFormat="1" ht="13.5">
      <c r="A951" s="85"/>
      <c r="C951" s="71" t="s">
        <v>601</v>
      </c>
      <c r="N951" s="276"/>
      <c r="O951" s="276"/>
      <c r="P951" s="276"/>
      <c r="Q951" s="276"/>
      <c r="R951" s="276"/>
      <c r="S951" s="276"/>
      <c r="T951" s="276"/>
      <c r="U951" s="276"/>
      <c r="V951" s="276"/>
    </row>
    <row r="952" spans="1:22" s="72" customFormat="1" ht="13.5">
      <c r="A952" s="85"/>
      <c r="C952" s="71" t="s">
        <v>602</v>
      </c>
      <c r="N952" s="276"/>
      <c r="O952" s="276"/>
      <c r="P952" s="276"/>
      <c r="Q952" s="276"/>
      <c r="R952" s="276"/>
      <c r="S952" s="276"/>
      <c r="T952" s="276"/>
      <c r="U952" s="276"/>
      <c r="V952" s="276"/>
    </row>
    <row r="953" spans="1:22" s="72" customFormat="1" ht="13.5">
      <c r="A953" s="85"/>
      <c r="C953" s="71" t="s">
        <v>603</v>
      </c>
      <c r="N953" s="276"/>
      <c r="O953" s="276"/>
      <c r="P953" s="276"/>
      <c r="Q953" s="276"/>
      <c r="R953" s="276"/>
      <c r="S953" s="276"/>
      <c r="T953" s="276"/>
      <c r="U953" s="276"/>
      <c r="V953" s="276"/>
    </row>
    <row r="954" spans="1:22" s="72" customFormat="1" ht="13.5">
      <c r="A954" s="85"/>
      <c r="C954" s="71" t="s">
        <v>604</v>
      </c>
      <c r="N954" s="276"/>
      <c r="O954" s="276"/>
      <c r="P954" s="276"/>
      <c r="Q954" s="276"/>
      <c r="R954" s="276"/>
      <c r="S954" s="276"/>
      <c r="T954" s="276"/>
      <c r="U954" s="276"/>
      <c r="V954" s="276"/>
    </row>
    <row r="955" spans="1:22" s="72" customFormat="1" ht="13.5">
      <c r="A955" s="85"/>
      <c r="C955" s="71" t="s">
        <v>605</v>
      </c>
      <c r="N955" s="276"/>
      <c r="O955" s="276"/>
      <c r="P955" s="276"/>
      <c r="Q955" s="276"/>
      <c r="R955" s="276"/>
      <c r="S955" s="276"/>
      <c r="T955" s="276"/>
      <c r="U955" s="276"/>
      <c r="V955" s="276"/>
    </row>
    <row r="956" spans="1:22" s="72" customFormat="1" ht="13.5">
      <c r="A956" s="85"/>
      <c r="C956" s="71" t="s">
        <v>606</v>
      </c>
      <c r="N956" s="276"/>
      <c r="O956" s="276"/>
      <c r="P956" s="276"/>
      <c r="Q956" s="276"/>
      <c r="R956" s="276"/>
      <c r="S956" s="276"/>
      <c r="T956" s="276"/>
      <c r="U956" s="276"/>
      <c r="V956" s="276"/>
    </row>
    <row r="957" spans="1:22" s="72" customFormat="1" ht="13.5">
      <c r="A957" s="85"/>
      <c r="C957" s="71" t="s">
        <v>607</v>
      </c>
      <c r="N957" s="276"/>
      <c r="O957" s="276"/>
      <c r="P957" s="276"/>
      <c r="Q957" s="276"/>
      <c r="R957" s="276"/>
      <c r="S957" s="276"/>
      <c r="T957" s="276"/>
      <c r="U957" s="276"/>
      <c r="V957" s="276"/>
    </row>
    <row r="958" spans="1:22" s="72" customFormat="1" ht="13.5">
      <c r="A958" s="85"/>
      <c r="C958" s="71" t="s">
        <v>608</v>
      </c>
      <c r="N958" s="276"/>
      <c r="O958" s="276"/>
      <c r="P958" s="276"/>
      <c r="Q958" s="276"/>
      <c r="R958" s="276"/>
      <c r="S958" s="276"/>
      <c r="T958" s="276"/>
      <c r="U958" s="276"/>
      <c r="V958" s="276"/>
    </row>
    <row r="959" spans="1:22" s="72" customFormat="1" ht="13.5">
      <c r="A959" s="85"/>
      <c r="C959" s="71" t="s">
        <v>609</v>
      </c>
      <c r="N959" s="276"/>
      <c r="O959" s="276"/>
      <c r="P959" s="276"/>
      <c r="Q959" s="276"/>
      <c r="R959" s="276"/>
      <c r="S959" s="276"/>
      <c r="T959" s="276"/>
      <c r="U959" s="276"/>
      <c r="V959" s="276"/>
    </row>
    <row r="960" spans="1:22" s="72" customFormat="1" ht="13.5">
      <c r="A960" s="85"/>
      <c r="C960" s="71" t="s">
        <v>610</v>
      </c>
      <c r="N960" s="276"/>
      <c r="O960" s="276"/>
      <c r="P960" s="276"/>
      <c r="Q960" s="276"/>
      <c r="R960" s="276"/>
      <c r="S960" s="276"/>
      <c r="T960" s="276"/>
      <c r="U960" s="276"/>
      <c r="V960" s="276"/>
    </row>
    <row r="961" spans="1:13" ht="13.5">
      <c r="A961" s="85"/>
      <c r="B961" s="72"/>
      <c r="C961" s="71" t="s">
        <v>611</v>
      </c>
      <c r="D961" s="72"/>
      <c r="E961" s="72"/>
      <c r="F961" s="72"/>
      <c r="G961" s="72"/>
      <c r="H961" s="72"/>
      <c r="I961" s="72"/>
      <c r="J961" s="72"/>
      <c r="K961" s="72"/>
      <c r="L961" s="72"/>
      <c r="M961" s="72"/>
    </row>
    <row r="962" spans="1:22" s="72" customFormat="1" ht="13.5">
      <c r="A962" s="38"/>
      <c r="C962" s="71" t="s">
        <v>612</v>
      </c>
      <c r="N962" s="276"/>
      <c r="O962" s="276"/>
      <c r="P962" s="276"/>
      <c r="Q962" s="276"/>
      <c r="R962" s="276"/>
      <c r="S962" s="276"/>
      <c r="T962" s="276"/>
      <c r="U962" s="276"/>
      <c r="V962" s="276"/>
    </row>
    <row r="963" spans="1:22" s="72" customFormat="1" ht="13.5">
      <c r="A963" s="85"/>
      <c r="B963" s="5"/>
      <c r="C963" s="33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276"/>
      <c r="O963" s="276"/>
      <c r="P963" s="276"/>
      <c r="Q963" s="276"/>
      <c r="R963" s="276"/>
      <c r="S963" s="276"/>
      <c r="T963" s="276"/>
      <c r="U963" s="276"/>
      <c r="V963" s="276"/>
    </row>
    <row r="964" spans="1:22" s="72" customFormat="1" ht="13.5">
      <c r="A964" s="85"/>
      <c r="C964" s="71" t="s">
        <v>613</v>
      </c>
      <c r="N964" s="276"/>
      <c r="O964" s="276"/>
      <c r="P964" s="276"/>
      <c r="Q964" s="276"/>
      <c r="R964" s="276"/>
      <c r="S964" s="276"/>
      <c r="T964" s="276"/>
      <c r="U964" s="276"/>
      <c r="V964" s="276"/>
    </row>
    <row r="965" spans="1:22" s="72" customFormat="1" ht="13.5">
      <c r="A965" s="85"/>
      <c r="C965" s="81" t="s">
        <v>629</v>
      </c>
      <c r="N965" s="276"/>
      <c r="O965" s="276"/>
      <c r="P965" s="276"/>
      <c r="Q965" s="276"/>
      <c r="R965" s="276"/>
      <c r="S965" s="276"/>
      <c r="T965" s="276"/>
      <c r="U965" s="276"/>
      <c r="V965" s="276"/>
    </row>
    <row r="966" spans="1:22" s="72" customFormat="1" ht="13.5">
      <c r="A966" s="85"/>
      <c r="C966" s="71" t="s">
        <v>630</v>
      </c>
      <c r="N966" s="276"/>
      <c r="O966" s="276"/>
      <c r="P966" s="276"/>
      <c r="Q966" s="276"/>
      <c r="R966" s="276"/>
      <c r="S966" s="276"/>
      <c r="T966" s="276"/>
      <c r="U966" s="276"/>
      <c r="V966" s="276"/>
    </row>
    <row r="967" spans="1:22" s="72" customFormat="1" ht="13.5">
      <c r="A967" s="85"/>
      <c r="C967" s="71" t="s">
        <v>631</v>
      </c>
      <c r="N967" s="276"/>
      <c r="O967" s="276"/>
      <c r="P967" s="276"/>
      <c r="Q967" s="276"/>
      <c r="R967" s="276"/>
      <c r="S967" s="276"/>
      <c r="T967" s="276"/>
      <c r="U967" s="276"/>
      <c r="V967" s="276"/>
    </row>
    <row r="968" spans="1:22" s="72" customFormat="1" ht="13.5">
      <c r="A968" s="85"/>
      <c r="C968" s="71" t="s">
        <v>632</v>
      </c>
      <c r="N968" s="276"/>
      <c r="O968" s="276"/>
      <c r="P968" s="276"/>
      <c r="Q968" s="276"/>
      <c r="R968" s="276"/>
      <c r="S968" s="276"/>
      <c r="T968" s="276"/>
      <c r="U968" s="276"/>
      <c r="V968" s="276"/>
    </row>
    <row r="969" spans="1:13" ht="13.5">
      <c r="A969" s="85"/>
      <c r="B969" s="72"/>
      <c r="C969" s="71" t="s">
        <v>633</v>
      </c>
      <c r="D969" s="72"/>
      <c r="E969" s="72"/>
      <c r="F969" s="72"/>
      <c r="G969" s="72"/>
      <c r="H969" s="72"/>
      <c r="I969" s="72"/>
      <c r="J969" s="72"/>
      <c r="K969" s="72"/>
      <c r="L969" s="72"/>
      <c r="M969" s="72"/>
    </row>
    <row r="970" spans="1:22" s="72" customFormat="1" ht="13.5">
      <c r="A970" s="38"/>
      <c r="C970" s="71" t="s">
        <v>634</v>
      </c>
      <c r="N970" s="276"/>
      <c r="O970" s="276"/>
      <c r="P970" s="276"/>
      <c r="Q970" s="276"/>
      <c r="R970" s="276"/>
      <c r="S970" s="276"/>
      <c r="T970" s="276"/>
      <c r="U970" s="276"/>
      <c r="V970" s="276"/>
    </row>
    <row r="971" spans="1:22" s="72" customFormat="1" ht="13.5">
      <c r="A971" s="85"/>
      <c r="B971" s="5"/>
      <c r="C971" s="33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276"/>
      <c r="O971" s="276"/>
      <c r="P971" s="276"/>
      <c r="Q971" s="276"/>
      <c r="R971" s="276"/>
      <c r="S971" s="276"/>
      <c r="T971" s="276"/>
      <c r="U971" s="276"/>
      <c r="V971" s="276"/>
    </row>
    <row r="972" spans="1:22" s="72" customFormat="1" ht="13.5">
      <c r="A972" s="85"/>
      <c r="C972" s="71" t="s">
        <v>635</v>
      </c>
      <c r="N972" s="276"/>
      <c r="O972" s="276"/>
      <c r="P972" s="276"/>
      <c r="Q972" s="276"/>
      <c r="R972" s="276"/>
      <c r="S972" s="276"/>
      <c r="T972" s="276"/>
      <c r="U972" s="276"/>
      <c r="V972" s="276"/>
    </row>
    <row r="973" spans="1:22" s="72" customFormat="1" ht="13.5">
      <c r="A973" s="85"/>
      <c r="C973" s="71" t="s">
        <v>636</v>
      </c>
      <c r="N973" s="276"/>
      <c r="O973" s="276"/>
      <c r="P973" s="276"/>
      <c r="Q973" s="276"/>
      <c r="R973" s="276"/>
      <c r="S973" s="276"/>
      <c r="T973" s="276"/>
      <c r="U973" s="276"/>
      <c r="V973" s="276"/>
    </row>
    <row r="974" spans="1:22" s="72" customFormat="1" ht="13.5">
      <c r="A974" s="85"/>
      <c r="C974" s="71" t="s">
        <v>637</v>
      </c>
      <c r="N974" s="276"/>
      <c r="O974" s="276"/>
      <c r="P974" s="276"/>
      <c r="Q974" s="276"/>
      <c r="R974" s="276"/>
      <c r="S974" s="276"/>
      <c r="T974" s="276"/>
      <c r="U974" s="276"/>
      <c r="V974" s="276"/>
    </row>
    <row r="975" spans="1:22" s="72" customFormat="1" ht="13.5">
      <c r="A975" s="85"/>
      <c r="C975" s="71" t="s">
        <v>638</v>
      </c>
      <c r="N975" s="276"/>
      <c r="O975" s="276"/>
      <c r="P975" s="276"/>
      <c r="Q975" s="276"/>
      <c r="R975" s="276"/>
      <c r="S975" s="276"/>
      <c r="T975" s="276"/>
      <c r="U975" s="276"/>
      <c r="V975" s="276"/>
    </row>
    <row r="976" spans="1:22" s="72" customFormat="1" ht="13.5">
      <c r="A976" s="85"/>
      <c r="C976" s="71" t="s">
        <v>639</v>
      </c>
      <c r="N976" s="276"/>
      <c r="O976" s="276"/>
      <c r="P976" s="276"/>
      <c r="Q976" s="276"/>
      <c r="R976" s="276"/>
      <c r="S976" s="276"/>
      <c r="T976" s="276"/>
      <c r="U976" s="276"/>
      <c r="V976" s="276"/>
    </row>
    <row r="977" spans="1:22" s="72" customFormat="1" ht="13.5">
      <c r="A977" s="85"/>
      <c r="C977" s="71" t="s">
        <v>640</v>
      </c>
      <c r="N977" s="276"/>
      <c r="O977" s="276"/>
      <c r="P977" s="276"/>
      <c r="Q977" s="276"/>
      <c r="R977" s="276"/>
      <c r="S977" s="276"/>
      <c r="T977" s="276"/>
      <c r="U977" s="276"/>
      <c r="V977" s="276"/>
    </row>
    <row r="978" spans="1:22" s="72" customFormat="1" ht="13.5">
      <c r="A978" s="85"/>
      <c r="C978" s="71"/>
      <c r="N978" s="276"/>
      <c r="O978" s="276"/>
      <c r="P978" s="276"/>
      <c r="Q978" s="276"/>
      <c r="R978" s="276"/>
      <c r="S978" s="276"/>
      <c r="T978" s="276"/>
      <c r="U978" s="276"/>
      <c r="V978" s="276"/>
    </row>
    <row r="979" spans="1:22" s="72" customFormat="1" ht="15" thickBot="1">
      <c r="A979" s="85"/>
      <c r="C979" s="71"/>
      <c r="F979" s="91" t="s">
        <v>641</v>
      </c>
      <c r="N979" s="276"/>
      <c r="O979" s="276"/>
      <c r="P979" s="276"/>
      <c r="Q979" s="276"/>
      <c r="R979" s="276"/>
      <c r="S979" s="276"/>
      <c r="T979" s="276"/>
      <c r="U979" s="276"/>
      <c r="V979" s="276"/>
    </row>
    <row r="980" spans="1:22" s="72" customFormat="1" ht="15" thickBot="1">
      <c r="A980" s="85"/>
      <c r="C980" s="71"/>
      <c r="E980" s="274"/>
      <c r="F980" s="268" t="s">
        <v>0</v>
      </c>
      <c r="G980" s="226"/>
      <c r="H980" s="273"/>
      <c r="N980" s="276"/>
      <c r="O980" s="276"/>
      <c r="P980" s="276"/>
      <c r="Q980" s="276"/>
      <c r="R980" s="276"/>
      <c r="S980" s="276"/>
      <c r="T980" s="276"/>
      <c r="U980" s="276"/>
      <c r="V980" s="276"/>
    </row>
    <row r="981" spans="1:22" s="72" customFormat="1" ht="13.5">
      <c r="A981" s="85"/>
      <c r="C981" s="71"/>
      <c r="D981" s="5"/>
      <c r="E981" s="5"/>
      <c r="F981" s="5"/>
      <c r="G981" s="5"/>
      <c r="H981" s="5"/>
      <c r="N981" s="276"/>
      <c r="O981" s="276"/>
      <c r="P981" s="276"/>
      <c r="Q981" s="276"/>
      <c r="R981" s="276"/>
      <c r="S981" s="276"/>
      <c r="T981" s="276"/>
      <c r="U981" s="276"/>
      <c r="V981" s="276"/>
    </row>
    <row r="982" spans="1:22" s="72" customFormat="1" ht="13.5">
      <c r="A982" s="85"/>
      <c r="C982" s="71"/>
      <c r="D982" s="5"/>
      <c r="E982" s="5"/>
      <c r="F982" s="91" t="s">
        <v>642</v>
      </c>
      <c r="G982" s="5"/>
      <c r="H982" s="5"/>
      <c r="N982" s="276"/>
      <c r="O982" s="276"/>
      <c r="P982" s="276"/>
      <c r="Q982" s="276"/>
      <c r="R982" s="276"/>
      <c r="S982" s="276"/>
      <c r="T982" s="276"/>
      <c r="U982" s="276"/>
      <c r="V982" s="276"/>
    </row>
    <row r="983" spans="1:22" s="72" customFormat="1" ht="15" thickBot="1">
      <c r="A983" s="85"/>
      <c r="C983" s="71"/>
      <c r="F983" s="74" t="s">
        <v>643</v>
      </c>
      <c r="G983" s="74" t="s">
        <v>644</v>
      </c>
      <c r="N983" s="276"/>
      <c r="O983" s="276"/>
      <c r="P983" s="276"/>
      <c r="Q983" s="276"/>
      <c r="R983" s="276"/>
      <c r="S983" s="276"/>
      <c r="T983" s="276"/>
      <c r="U983" s="276"/>
      <c r="V983" s="276"/>
    </row>
    <row r="984" spans="1:22" s="72" customFormat="1" ht="13.5">
      <c r="A984" s="85"/>
      <c r="C984" s="71"/>
      <c r="E984" s="75" t="s">
        <v>643</v>
      </c>
      <c r="F984" s="199" t="s">
        <v>645</v>
      </c>
      <c r="G984" s="200" t="s">
        <v>646</v>
      </c>
      <c r="N984" s="276"/>
      <c r="O984" s="276"/>
      <c r="P984" s="276"/>
      <c r="Q984" s="276"/>
      <c r="R984" s="276"/>
      <c r="S984" s="276"/>
      <c r="T984" s="276"/>
      <c r="U984" s="276"/>
      <c r="V984" s="276"/>
    </row>
    <row r="985" spans="1:22" s="72" customFormat="1" ht="13.5">
      <c r="A985" s="85"/>
      <c r="C985" s="71"/>
      <c r="D985" s="205" t="s">
        <v>647</v>
      </c>
      <c r="E985" s="75"/>
      <c r="F985" s="201"/>
      <c r="G985" s="202"/>
      <c r="N985" s="276"/>
      <c r="O985" s="276"/>
      <c r="P985" s="276"/>
      <c r="Q985" s="276"/>
      <c r="R985" s="276"/>
      <c r="S985" s="276"/>
      <c r="T985" s="276"/>
      <c r="U985" s="276"/>
      <c r="V985" s="276"/>
    </row>
    <row r="986" spans="1:22" s="72" customFormat="1" ht="15" thickBot="1">
      <c r="A986" s="85"/>
      <c r="C986" s="71"/>
      <c r="E986" s="75" t="s">
        <v>644</v>
      </c>
      <c r="F986" s="203" t="s">
        <v>648</v>
      </c>
      <c r="G986" s="204" t="s">
        <v>649</v>
      </c>
      <c r="N986" s="276"/>
      <c r="O986" s="276"/>
      <c r="P986" s="276"/>
      <c r="Q986" s="276"/>
      <c r="R986" s="276"/>
      <c r="S986" s="276"/>
      <c r="T986" s="276"/>
      <c r="U986" s="276"/>
      <c r="V986" s="276"/>
    </row>
    <row r="987" spans="1:22" s="72" customFormat="1" ht="13.5">
      <c r="A987" s="85"/>
      <c r="C987" s="71"/>
      <c r="N987" s="276"/>
      <c r="O987" s="276"/>
      <c r="P987" s="276"/>
      <c r="Q987" s="276"/>
      <c r="R987" s="276"/>
      <c r="S987" s="276"/>
      <c r="T987" s="276"/>
      <c r="U987" s="276"/>
      <c r="V987" s="276"/>
    </row>
    <row r="988" spans="1:22" s="72" customFormat="1" ht="13.5">
      <c r="A988" s="85"/>
      <c r="C988" s="71" t="s">
        <v>650</v>
      </c>
      <c r="N988" s="276"/>
      <c r="O988" s="276"/>
      <c r="P988" s="276"/>
      <c r="Q988" s="276"/>
      <c r="R988" s="276"/>
      <c r="S988" s="276"/>
      <c r="T988" s="276"/>
      <c r="U988" s="276"/>
      <c r="V988" s="276"/>
    </row>
    <row r="989" spans="1:22" s="72" customFormat="1" ht="13.5">
      <c r="A989" s="85"/>
      <c r="C989" s="71" t="s">
        <v>651</v>
      </c>
      <c r="N989" s="276"/>
      <c r="O989" s="276"/>
      <c r="P989" s="276"/>
      <c r="Q989" s="276"/>
      <c r="R989" s="276"/>
      <c r="S989" s="276"/>
      <c r="T989" s="276"/>
      <c r="U989" s="276"/>
      <c r="V989" s="276"/>
    </row>
    <row r="990" spans="1:22" s="72" customFormat="1" ht="13.5">
      <c r="A990" s="85"/>
      <c r="C990" s="71" t="s">
        <v>652</v>
      </c>
      <c r="N990" s="276"/>
      <c r="O990" s="276"/>
      <c r="P990" s="276"/>
      <c r="Q990" s="276"/>
      <c r="R990" s="276"/>
      <c r="S990" s="276"/>
      <c r="T990" s="276"/>
      <c r="U990" s="276"/>
      <c r="V990" s="276"/>
    </row>
    <row r="991" spans="1:13" ht="13.5">
      <c r="A991" s="85"/>
      <c r="B991" s="72"/>
      <c r="C991" s="71" t="s">
        <v>653</v>
      </c>
      <c r="D991" s="72"/>
      <c r="E991" s="72"/>
      <c r="F991" s="72"/>
      <c r="G991" s="72"/>
      <c r="H991" s="72"/>
      <c r="I991" s="72"/>
      <c r="J991" s="72"/>
      <c r="K991" s="72"/>
      <c r="L991" s="72"/>
      <c r="M991" s="72"/>
    </row>
    <row r="992" spans="2:13" ht="13.5">
      <c r="B992" s="72"/>
      <c r="C992" s="71" t="s">
        <v>654</v>
      </c>
      <c r="D992" s="72"/>
      <c r="E992" s="72"/>
      <c r="F992" s="72"/>
      <c r="G992" s="72"/>
      <c r="H992" s="72"/>
      <c r="I992" s="72"/>
      <c r="J992" s="72"/>
      <c r="K992" s="72"/>
      <c r="L992" s="72"/>
      <c r="M992" s="72"/>
    </row>
  </sheetData>
  <printOptions/>
  <pageMargins left="0.3" right="0.3" top="0.7" bottom="1" header="0.5" footer="0.5"/>
  <pageSetup orientation="portrait" paperSize="9" scale="7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Montclair State University</dc:creator>
  <cp:keywords/>
  <dc:description/>
  <cp:lastModifiedBy>Philippe LeBel</cp:lastModifiedBy>
  <dcterms:created xsi:type="dcterms:W3CDTF">1999-04-11T11:58:11Z</dcterms:created>
  <cp:category/>
  <cp:version/>
  <cp:contentType/>
  <cp:contentStatus/>
</cp:coreProperties>
</file>