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5100" windowHeight="9500" tabRatio="1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<sst xmlns="http://schemas.openxmlformats.org/spreadsheetml/2006/main" count="397" uniqueCount="206">
  <si>
    <t>the distance between the inverse demand intercept and the inverse supply intercept.</t>
  </si>
  <si>
    <t>Optimal Tax Rate Supply Function</t>
  </si>
  <si>
    <t>Optimal Tax Rate:</t>
  </si>
  <si>
    <t xml:space="preserve">Figure 2    </t>
  </si>
  <si>
    <t xml:space="preserve"> (= pre-tax market equilibrium quantity)</t>
  </si>
  <si>
    <t>Figure 2 summarizes the maximum excise tax rate equilibrium in terms of the original market equilibrium.</t>
  </si>
  <si>
    <t>of tobacco and lung cancer, simplified here as a direct linear relationship:</t>
  </si>
  <si>
    <t>First, consider  the following general inverse demand and supply equations:</t>
  </si>
  <si>
    <t>Now consider the following specific equations:</t>
  </si>
  <si>
    <t>LCFR =</t>
  </si>
  <si>
    <t>Inverse Demand</t>
  </si>
  <si>
    <t>Inverse Supply</t>
  </si>
  <si>
    <t>At the initial market equilibrium, the lung cancer fatality rate can be derived by inserting the</t>
  </si>
  <si>
    <t>Instructions:</t>
  </si>
  <si>
    <t>This module has three sections:  1. The base case study; 2. The solution tableau; 3. The case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</si>
  <si>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</si>
  <si>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</si>
  <si>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</si>
  <si>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</si>
  <si>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 xml:space="preserve">will maximize the level of tax revenues collected.  Answers to each of these questions depend </t>
  </si>
  <si>
    <t xml:space="preserve">very much on the underlying slopes of the demand and supplyeuqations, the magnitude of </t>
  </si>
  <si>
    <t>the tax, and the relationship of demand to some target level of consumption.</t>
  </si>
  <si>
    <t>The absolute value of the point own-price elasticity of demand is:</t>
  </si>
  <si>
    <t xml:space="preserve"> that level:</t>
  </si>
  <si>
    <t>Optimal Taxation Solution Tableau</t>
  </si>
  <si>
    <t xml:space="preserve">level from which the maximum level of excise taxes can be derived: </t>
  </si>
  <si>
    <t>Qopt=f(MR=Pe) =</t>
  </si>
  <si>
    <t>In turn, by inserting this optimal quantity into the corresponding inverse demand and supply functions</t>
  </si>
  <si>
    <t>we obtain the excise tax wedge level:</t>
  </si>
  <si>
    <t>Optimum Excise Tax=</t>
  </si>
  <si>
    <t>Excise tax revenue=</t>
  </si>
  <si>
    <t xml:space="preserve">  To check your answer, pick any arbitrary tax level and compare</t>
  </si>
  <si>
    <t xml:space="preserve">  the resulting market equilibrium quantity, and tax revenues for</t>
  </si>
  <si>
    <t>excise tax rate</t>
  </si>
  <si>
    <t>market equilibrium quantity</t>
  </si>
  <si>
    <t>excise tax revenues</t>
  </si>
  <si>
    <t>Another way of viewing this result is in terms of the following graph:</t>
  </si>
  <si>
    <t>Excise Tax Rate</t>
  </si>
  <si>
    <t>Total Revenue</t>
  </si>
  <si>
    <t xml:space="preserve"> total revenue will </t>
  </si>
  <si>
    <t xml:space="preserve"> This implies a new level of consumption of</t>
  </si>
  <si>
    <t>consumption level is known, and solve for the corresponding level of the excise tax.</t>
  </si>
  <si>
    <t>Consumer burden</t>
  </si>
  <si>
    <t>Producer burden</t>
  </si>
  <si>
    <t>Total burden</t>
  </si>
  <si>
    <t>C.</t>
  </si>
  <si>
    <t>Maximizing the Level of Excise Tax Revenues</t>
  </si>
  <si>
    <t>We begin again with the pre-tax market conditions as before:</t>
  </si>
  <si>
    <t>one also can ask what is the tax rate that will maximize tax revenues.  Here the question is not</t>
  </si>
  <si>
    <t>how to achieve some targeted reduction in consumption, nor whether the tax is efficient, but</t>
  </si>
  <si>
    <t>Enter any excise tax rate</t>
  </si>
  <si>
    <t xml:space="preserve"> = resulting market equilibrium quantity</t>
  </si>
  <si>
    <t xml:space="preserve"> = resulting excise tax revenues</t>
  </si>
  <si>
    <t xml:space="preserve"> To check your answer, pick any arbitrary tax level and compare the resulting market equilibrium quantity, </t>
  </si>
  <si>
    <t>and tax revenues for that level:</t>
  </si>
  <si>
    <t xml:space="preserve"> (= 5th root of value in D469, and is used as an additive term for the quantity scale)</t>
  </si>
  <si>
    <t xml:space="preserve">Figure 1      </t>
  </si>
  <si>
    <t xml:space="preserve">Figure 1 shows that for a linear demand curve, the maximum tax wedge will occur at half of the market </t>
  </si>
  <si>
    <t>equilibrium quantity.  Thus, tax revenue maximization will depend on the pre-tax market equilibrium and</t>
  </si>
  <si>
    <t xml:space="preserve">triangle determined by the difference between the new and old equilibrium quantity </t>
  </si>
  <si>
    <t>and the vertical distance defined by the unit level of the tax:</t>
  </si>
  <si>
    <t>Total tax revenue =</t>
  </si>
  <si>
    <t>Excess burden of the tax =</t>
  </si>
  <si>
    <t>As long as the excess burden does not exceed some threshhold level such as 5 percent,</t>
  </si>
  <si>
    <t>Pd</t>
  </si>
  <si>
    <t>Ps</t>
  </si>
  <si>
    <t>Let us now examine the welfare effects of the optimal tax model. First we derive the pre-tax level of</t>
  </si>
  <si>
    <t>TSW =</t>
  </si>
  <si>
    <t>DSWL=</t>
  </si>
  <si>
    <t>total social welfare (TSW), the deadweight social welfare loss from the tax (DSWL), and then the excess</t>
  </si>
  <si>
    <t>burden of the tax, as the ratio of the deadweight social welfare loss to the level of excise tax revenues:</t>
  </si>
  <si>
    <t>Excess Burden Ratio of the Tax =</t>
  </si>
  <si>
    <t xml:space="preserve"> =(0.5)x</t>
  </si>
  <si>
    <t xml:space="preserve">  =(0.5)x</t>
  </si>
  <si>
    <t xml:space="preserve">      =     </t>
  </si>
  <si>
    <t>TAXREV (Tax Revenues) =</t>
  </si>
  <si>
    <t xml:space="preserve">      =(DSWL)/(TAXREV)</t>
  </si>
  <si>
    <t xml:space="preserve">     With such a high excess burden ratio, it is clear that there is a trade-off between the goal of tax efficiency</t>
  </si>
  <si>
    <t>and tax maximization.  The optimal weight between efficiency and maximization depends on the extent of</t>
  </si>
  <si>
    <t>market failure and on the relative utility of public expenditures.</t>
  </si>
  <si>
    <t>consideration the burden of the tax on producers and consumers.  To look at the efficiency of a tax</t>
  </si>
  <si>
    <t>from this broader economic perspective, let us now revisit the original pre-tax market conditions</t>
  </si>
  <si>
    <t>and derive the corresponding economic efficiency conditions.</t>
  </si>
  <si>
    <t>The question is what would be the necessary tax to achieve this targeted level of reduced tobacco</t>
  </si>
  <si>
    <t>consumption.  The solution is found by first deriving the market price that corresponds to the target</t>
  </si>
  <si>
    <t>level of quantity demanded necessary to achieve to target level of reduction in lung cancer fatalities.</t>
  </si>
  <si>
    <t xml:space="preserve">The above calculations can be checked by a comparison of lung cancer fatality rates </t>
  </si>
  <si>
    <t>with the tax in comparison to the pre-tax equilibrium:</t>
  </si>
  <si>
    <t>pre-tax lung cancer fatality  rate</t>
  </si>
  <si>
    <t>post-tax cancer fatality rate</t>
  </si>
  <si>
    <t>Since the objective of the tax has been to reduce lung cancer fatality rates, the size of market</t>
  </si>
  <si>
    <t>revenues and the level of taxes collected are of secondary importance.  For purposes of</t>
  </si>
  <si>
    <t>comparison, we note here the new own-price elasticity of demand at</t>
  </si>
  <si>
    <t xml:space="preserve"> which is</t>
  </si>
  <si>
    <t xml:space="preserve">such that total revenue will now </t>
  </si>
  <si>
    <t>with the imposition of the tax.</t>
  </si>
  <si>
    <t>Determining the Effectiveness of an Excise Tax</t>
  </si>
  <si>
    <t>A.</t>
  </si>
  <si>
    <t>B.</t>
  </si>
  <si>
    <t>Determining the Efficiency of an Excise Tax</t>
  </si>
  <si>
    <t xml:space="preserve">     While taxes may be imposed to accomplish a behavioral objective, as in the preceding example,</t>
  </si>
  <si>
    <t xml:space="preserve"> initial pre-tax inverse demand equation</t>
  </si>
  <si>
    <t xml:space="preserve"> initial-pre-tax inverse supply equation</t>
  </si>
  <si>
    <t>Consider now an excise tax rate of:</t>
  </si>
  <si>
    <t>We repeat the initial market equilibrium conditions as:</t>
  </si>
  <si>
    <t>with an initial point own-price elasticity of demand at:</t>
  </si>
  <si>
    <t>Because this value is</t>
  </si>
  <si>
    <t>with a post-tax point own-price elasticity of demand at:</t>
  </si>
  <si>
    <t>the tax may be thought of as efficient.</t>
  </si>
  <si>
    <t>While the excess burden of a tax may be used to determine whether a tax is efficient,</t>
  </si>
  <si>
    <t xml:space="preserve">     Taxation serves a number of objectives.  One is to affect economic behavior, as in the</t>
  </si>
  <si>
    <t>imposition of a tax on gasoline or tobacco to affect consumption levels.  How one sets the</t>
  </si>
  <si>
    <t>level of such a tax determines whether the tax is effective (collection and administrative</t>
  </si>
  <si>
    <t>fees aside).  Another objective of taxation is to raise revenues for public spending.  Here</t>
  </si>
  <si>
    <t xml:space="preserve">one can determine whether a tax is efficient in terms of the loss of social welfare relative </t>
  </si>
  <si>
    <t>to the given level of tax revenue collected.  Finally, one can ask what is the tax rate that</t>
  </si>
  <si>
    <t>Market Equilibrium and Social Welfare</t>
  </si>
  <si>
    <t>We consider first the case of the effectiveness of a tax in achieving desired changes</t>
  </si>
  <si>
    <t>in consumption.  Consider first the the following schedules relating the consumption</t>
  </si>
  <si>
    <t>Lung Cancer Fatality Rate</t>
  </si>
  <si>
    <t>another way to view taxation is in terms of the efficiency of the tax.  One way to look at the efficiency</t>
  </si>
  <si>
    <t>of taxation is to calculate the administrative and collection costs per dollar of tax revenue collected.</t>
  </si>
  <si>
    <t>This is a naïve approach to estimating the efficiency of a tax because it does not take into</t>
  </si>
  <si>
    <t>Optimal Taxation Control Panel</t>
  </si>
  <si>
    <t>Reference Base Case</t>
  </si>
  <si>
    <t>Simulation</t>
  </si>
  <si>
    <t>Select Demand Intercept</t>
  </si>
  <si>
    <t>Select Demand Coefficient</t>
  </si>
  <si>
    <t>Select Supply Intercept</t>
  </si>
  <si>
    <t>Select Supply Coefficient</t>
  </si>
  <si>
    <t>Select LCFR Intercept</t>
  </si>
  <si>
    <t>Select LCFR Coefficient</t>
  </si>
  <si>
    <t>Select LCFR Percent Reduction</t>
  </si>
  <si>
    <t>Select Excise Tax Rate</t>
  </si>
  <si>
    <t>Pt. Own-Pr.Elast.Demand=</t>
  </si>
  <si>
    <t>The absolute value of the own-price elasticity of demand is:</t>
  </si>
  <si>
    <t>market equilibrium quantity level into the lung cancer fatality rate equation:</t>
  </si>
  <si>
    <t>LCFR=</t>
  </si>
  <si>
    <t>Now consider a social policy in which the goal is to reduce the lung cancer fatality rate by</t>
  </si>
  <si>
    <t xml:space="preserve">   =</t>
  </si>
  <si>
    <t xml:space="preserve"> Next, one can take</t>
  </si>
  <si>
    <t xml:space="preserve"> this new market price and insert it into a tax-augmented inverse supply equation whose </t>
  </si>
  <si>
    <t>(+Tax)</t>
  </si>
  <si>
    <t>Dr. P. LeBel</t>
  </si>
  <si>
    <t>Optimal Taxation</t>
  </si>
  <si>
    <t>Pd=</t>
  </si>
  <si>
    <t>Qd</t>
  </si>
  <si>
    <t>Ps=</t>
  </si>
  <si>
    <t>Qs</t>
  </si>
  <si>
    <t>Qe=</t>
  </si>
  <si>
    <t>Pe=</t>
  </si>
  <si>
    <t>Ed=</t>
  </si>
  <si>
    <t>TR=</t>
  </si>
  <si>
    <t>TSW=</t>
  </si>
  <si>
    <t>Deadweight Loss =</t>
  </si>
  <si>
    <t>First, solve for the initial pre-tax market equilibrium:</t>
  </si>
  <si>
    <t>and initial total social welfare is:</t>
  </si>
  <si>
    <t>a</t>
  </si>
  <si>
    <t xml:space="preserve"> -b</t>
  </si>
  <si>
    <t>c</t>
  </si>
  <si>
    <t xml:space="preserve"> +d</t>
  </si>
  <si>
    <t>Now consider the impact of an excise tax in terms of market equilibrium,</t>
  </si>
  <si>
    <t xml:space="preserve"> the own-price elasticity of demand, social welfare, and the level of tax revenues:</t>
  </si>
  <si>
    <t>At this initial equilibrium, the point own-price elasticity of demand is:</t>
  </si>
  <si>
    <t>which is added to the constant term</t>
  </si>
  <si>
    <t>of the inverse supply equation.</t>
  </si>
  <si>
    <t>Calculating the Impact of an Excise Tax</t>
  </si>
  <si>
    <t>The post-tax market equilibrium will be:</t>
  </si>
  <si>
    <t>Tax Revenues will be:</t>
  </si>
  <si>
    <t>The burden of the tax on consumers and producers can be determined by the</t>
  </si>
  <si>
    <t>proportions that make up the sum of the absolute values of the slopes of the</t>
  </si>
  <si>
    <t>inverse demand and supply equations.  Thus the proportions are given at:</t>
  </si>
  <si>
    <t>Multiplying these proportions times the level of total tax revenues determines the</t>
  </si>
  <si>
    <t xml:space="preserve"> MR function =</t>
  </si>
  <si>
    <t>The first derivative  yields:</t>
  </si>
  <si>
    <t xml:space="preserve">inverse demand and supply equations, on the underlying point own-price elasticities of  </t>
  </si>
  <si>
    <t>demand and supply, as well as on the magnitude of the excise tax.</t>
  </si>
  <si>
    <t>Setting the marginal revenue function equal to the market equilibrium price yields the output</t>
  </si>
  <si>
    <t>© 1999</t>
  </si>
  <si>
    <t>at what rate can tax revenues be maximized  for purposes of achieving a targeted level of</t>
  </si>
  <si>
    <t xml:space="preserve">budgetary expenditures.  The answer depends on the absolute values of the slopes of the </t>
  </si>
  <si>
    <t>Q</t>
  </si>
  <si>
    <t xml:space="preserve">Let us now consider this from the point of view of total and marginal functions.  </t>
  </si>
  <si>
    <t>First we derive the industry total and marginal revenue functions as:</t>
  </si>
  <si>
    <t>TR function =</t>
  </si>
  <si>
    <t>Pd =</t>
  </si>
  <si>
    <t>Ps =</t>
  </si>
  <si>
    <r>
      <t>Q</t>
    </r>
    <r>
      <rPr>
        <b/>
        <vertAlign val="superscript"/>
        <sz val="14"/>
        <rFont val="Helv"/>
        <family val="0"/>
      </rPr>
      <t>2</t>
    </r>
  </si>
  <si>
    <t>Tax Revenues</t>
  </si>
  <si>
    <t>Required excise tax =</t>
  </si>
  <si>
    <t>per unit</t>
  </si>
  <si>
    <t xml:space="preserve"> Thus:</t>
  </si>
  <si>
    <t>new equilibrium quantity</t>
  </si>
  <si>
    <t>new equilibrium price</t>
  </si>
  <si>
    <t>percentage change</t>
  </si>
  <si>
    <t xml:space="preserve">units. </t>
  </si>
  <si>
    <t>(This is found by solving for Qd at the new LCFR target level)</t>
  </si>
  <si>
    <t xml:space="preserve">  or at a new level of</t>
  </si>
  <si>
    <t>(Select a decimal target value and enter in the first highlighted cell below left:)</t>
  </si>
  <si>
    <t>proportion of the tax borne by consumers as a loss of consumer surplus and the</t>
  </si>
  <si>
    <t>proportion of the tax borne by producers as a loss of producer surplus:</t>
  </si>
  <si>
    <t>Burden of the tax borne by consumers:</t>
  </si>
  <si>
    <t>Burden of the tax borne by producers:</t>
  </si>
  <si>
    <t>Total tax revenue:</t>
  </si>
  <si>
    <t>The excess burden of the tax is the ratio of the deadweight social welfare loss to</t>
  </si>
  <si>
    <t>the level of tax revenues.  The deadweight social welfare loss is defined as the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</si>
</sst>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0.0000"/>
    <numFmt numFmtId="166" formatCode="\+0.00"/>
    <numFmt numFmtId="167" formatCode="\(0.00\)\x"/>
    <numFmt numFmtId="168" formatCode="\(0.0000\)"/>
    <numFmt numFmtId="169" formatCode="#,##0.0000"/>
    <numFmt numFmtId="170" formatCode="\(0.00\ \-"/>
    <numFmt numFmtId="171" formatCode="0.00\)\x"/>
    <numFmt numFmtId="172" formatCode="\(&quot;$&quot;0.00\)"/>
    <numFmt numFmtId="173" formatCode="\=\(0.00\)\x"/>
    <numFmt numFmtId="174" formatCode="\(&quot;$&quot;0.00\)\÷"/>
    <numFmt numFmtId="175" formatCode="\=\(&quot;$&quot;0.00\)\÷"/>
    <numFmt numFmtId="176" formatCode="\(\(0.00\)\x"/>
    <numFmt numFmtId="177" formatCode="0.00\)\)"/>
    <numFmt numFmtId="178" formatCode="\-0.00\)\x"/>
    <numFmt numFmtId="179" formatCode="\(0.00\)"/>
    <numFmt numFmtId="180" formatCode="\=\(0.00\+"/>
    <numFmt numFmtId="181" formatCode="&quot;$&quot;#,##0.00"/>
    <numFmt numFmtId="182" formatCode="&quot;$&quot;#,##0.00\="/>
    <numFmt numFmtId="183" formatCode="\+\(0.00\)\x"/>
    <numFmt numFmtId="184" formatCode="#,##0.0000000000000"/>
    <numFmt numFmtId="185" formatCode="\=\(&quot;$&quot;0.00\)\x"/>
    <numFmt numFmtId="186" formatCode="\(0.00\)\)"/>
    <numFmt numFmtId="187" formatCode="\=\(&quot;$&quot;#,##0.00\-"/>
    <numFmt numFmtId="188" formatCode="\-0.00\)\÷"/>
    <numFmt numFmtId="189" formatCode="0.00\)\÷"/>
    <numFmt numFmtId="190" formatCode="\+0.00;\ \-0.00"/>
    <numFmt numFmtId="191" formatCode="\=\+0.00;\ \=\-0.00"/>
    <numFmt numFmtId="192" formatCode="\-&quot;$&quot;#,##0.00;\ &quot;$&quot;#,##0.00"/>
    <numFmt numFmtId="193" formatCode="\(&quot;$&quot;#,##0.00\)\x"/>
    <numFmt numFmtId="194" formatCode="\=\(&quot;$&quot;#,##0.00\)\x"/>
    <numFmt numFmtId="195" formatCode="0.00_);\(0.00\)"/>
    <numFmt numFmtId="196" formatCode="&quot;$&quot;#,##0"/>
  </numFmts>
  <fonts count="1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sz val="10"/>
      <color indexed="12"/>
      <name val="Helv"/>
      <family val="0"/>
    </font>
    <font>
      <sz val="9"/>
      <color indexed="12"/>
      <name val="Helv"/>
      <family val="0"/>
    </font>
    <font>
      <b/>
      <vertAlign val="superscript"/>
      <sz val="14"/>
      <name val="Helv"/>
      <family val="0"/>
    </font>
    <font>
      <sz val="8"/>
      <name val="Helv"/>
      <family val="0"/>
    </font>
    <font>
      <b/>
      <sz val="10"/>
      <color indexed="12"/>
      <name val="Helv"/>
      <family val="0"/>
    </font>
    <font>
      <b/>
      <sz val="9.5"/>
      <color indexed="12"/>
      <name val="Helv"/>
      <family val="0"/>
    </font>
    <font>
      <sz val="8.5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4" xfId="0" applyFont="1" applyBorder="1" applyAlignment="1">
      <alignment horizontal="right"/>
    </xf>
    <xf numFmtId="2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2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1" xfId="0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3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64" fontId="5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" fontId="5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5" fillId="0" borderId="13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1" fontId="5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5" fontId="4" fillId="0" borderId="16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 horizontal="left"/>
    </xf>
    <xf numFmtId="171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left"/>
    </xf>
    <xf numFmtId="175" fontId="4" fillId="0" borderId="11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 horizontal="left"/>
    </xf>
    <xf numFmtId="170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180" fontId="4" fillId="0" borderId="11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76" fontId="5" fillId="0" borderId="12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181" fontId="5" fillId="0" borderId="13" xfId="0" applyNumberFormat="1" applyFont="1" applyBorder="1" applyAlignment="1">
      <alignment horizontal="left"/>
    </xf>
    <xf numFmtId="166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183" fontId="5" fillId="0" borderId="12" xfId="0" applyNumberFormat="1" applyFont="1" applyBorder="1" applyAlignment="1">
      <alignment/>
    </xf>
    <xf numFmtId="179" fontId="5" fillId="0" borderId="1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2" fontId="0" fillId="0" borderId="0" xfId="0" applyNumberFormat="1" applyAlignment="1">
      <alignment/>
    </xf>
    <xf numFmtId="181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85" fontId="4" fillId="0" borderId="11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164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1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181" fontId="4" fillId="0" borderId="13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181" fontId="4" fillId="0" borderId="6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7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4" fillId="0" borderId="8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5" fillId="0" borderId="13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190" fontId="5" fillId="0" borderId="8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91" fontId="4" fillId="0" borderId="11" xfId="0" applyNumberFormat="1" applyFont="1" applyBorder="1" applyAlignment="1">
      <alignment horizontal="left"/>
    </xf>
    <xf numFmtId="167" fontId="4" fillId="0" borderId="12" xfId="0" applyNumberFormat="1" applyFont="1" applyBorder="1" applyAlignment="1">
      <alignment/>
    </xf>
    <xf numFmtId="192" fontId="4" fillId="0" borderId="13" xfId="0" applyNumberFormat="1" applyFont="1" applyBorder="1" applyAlignment="1">
      <alignment horizontal="center"/>
    </xf>
    <xf numFmtId="194" fontId="4" fillId="0" borderId="0" xfId="0" applyNumberFormat="1" applyFont="1" applyAlignment="1">
      <alignment/>
    </xf>
    <xf numFmtId="187" fontId="4" fillId="0" borderId="11" xfId="0" applyNumberFormat="1" applyFont="1" applyBorder="1" applyAlignment="1">
      <alignment/>
    </xf>
    <xf numFmtId="189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Excise Tax Revenues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75"/>
          <c:y val="0.142"/>
          <c:w val="0.951"/>
          <c:h val="0.749"/>
        </c:manualLayout>
      </c:layout>
      <c:lineChart>
        <c:grouping val="standard"/>
        <c:varyColors val="0"/>
        <c:ser>
          <c:idx val="1"/>
          <c:order val="0"/>
          <c:tx>
            <c:v>Total Revenue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Sheet1!$D$379:$D$423</c:f>
              <c:numCache>
                <c:ptCount val="45"/>
                <c:pt idx="0">
                  <c:v>1</c:v>
                </c:pt>
                <c:pt idx="1">
                  <c:v>2.880241233365431</c:v>
                </c:pt>
                <c:pt idx="2">
                  <c:v>4.760482466730862</c:v>
                </c:pt>
                <c:pt idx="3">
                  <c:v>6.640723700096292</c:v>
                </c:pt>
                <c:pt idx="4">
                  <c:v>8.520964933461723</c:v>
                </c:pt>
                <c:pt idx="5">
                  <c:v>10.401206166827153</c:v>
                </c:pt>
                <c:pt idx="6">
                  <c:v>12.281447400192583</c:v>
                </c:pt>
                <c:pt idx="7">
                  <c:v>14.161688633558013</c:v>
                </c:pt>
                <c:pt idx="8">
                  <c:v>16.041929866923443</c:v>
                </c:pt>
                <c:pt idx="9">
                  <c:v>17.922171100288875</c:v>
                </c:pt>
                <c:pt idx="10">
                  <c:v>19.802412333654306</c:v>
                </c:pt>
                <c:pt idx="11">
                  <c:v>21.682653567019738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cat>
          <c:val>
            <c:numRef>
              <c:f>Sheet1!$E$379:$E$423</c:f>
              <c:numCache>
                <c:ptCount val="45"/>
                <c:pt idx="0">
                  <c:v>9.8</c:v>
                </c:pt>
                <c:pt idx="1">
                  <c:v>27.143254421178625</c:v>
                </c:pt>
                <c:pt idx="2">
                  <c:v>43.07238600409823</c:v>
                </c:pt>
                <c:pt idx="3">
                  <c:v>57.587394748758804</c:v>
                </c:pt>
                <c:pt idx="4">
                  <c:v>70.68828065516037</c:v>
                </c:pt>
                <c:pt idx="5">
                  <c:v>82.3750437233029</c:v>
                </c:pt>
                <c:pt idx="6">
                  <c:v>92.6476839531864</c:v>
                </c:pt>
                <c:pt idx="7">
                  <c:v>101.50620134481088</c:v>
                </c:pt>
                <c:pt idx="8">
                  <c:v>108.95059589817635</c:v>
                </c:pt>
                <c:pt idx="9">
                  <c:v>114.9808676132828</c:v>
                </c:pt>
                <c:pt idx="10">
                  <c:v>119.59701649013022</c:v>
                </c:pt>
                <c:pt idx="11">
                  <c:v>122.79904252871863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Tax Revenue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Sheet1!$D$379:$D$423</c:f>
              <c:numCache>
                <c:ptCount val="45"/>
                <c:pt idx="0">
                  <c:v>1</c:v>
                </c:pt>
                <c:pt idx="1">
                  <c:v>2.880241233365431</c:v>
                </c:pt>
                <c:pt idx="2">
                  <c:v>4.760482466730862</c:v>
                </c:pt>
                <c:pt idx="3">
                  <c:v>6.640723700096292</c:v>
                </c:pt>
                <c:pt idx="4">
                  <c:v>8.520964933461723</c:v>
                </c:pt>
                <c:pt idx="5">
                  <c:v>10.401206166827153</c:v>
                </c:pt>
                <c:pt idx="6">
                  <c:v>12.281447400192583</c:v>
                </c:pt>
                <c:pt idx="7">
                  <c:v>14.161688633558013</c:v>
                </c:pt>
                <c:pt idx="8">
                  <c:v>16.041929866923443</c:v>
                </c:pt>
                <c:pt idx="9">
                  <c:v>17.922171100288875</c:v>
                </c:pt>
                <c:pt idx="10">
                  <c:v>19.802412333654306</c:v>
                </c:pt>
                <c:pt idx="11">
                  <c:v>21.682653567019738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cat>
          <c:val>
            <c:numRef>
              <c:f>Sheet1!$F$379:$F$423</c:f>
              <c:numCache>
                <c:ptCount val="45"/>
                <c:pt idx="0">
                  <c:v>9</c:v>
                </c:pt>
                <c:pt idx="1">
                  <c:v>23.75595176868368</c:v>
                </c:pt>
                <c:pt idx="2">
                  <c:v>35.68365786084932</c:v>
                </c:pt>
                <c:pt idx="3">
                  <c:v>44.783118276496914</c:v>
                </c:pt>
                <c:pt idx="4">
                  <c:v>51.05433301562646</c:v>
                </c:pt>
                <c:pt idx="5">
                  <c:v>54.49730207823796</c:v>
                </c:pt>
                <c:pt idx="6">
                  <c:v>55.1120254643314</c:v>
                </c:pt>
                <c:pt idx="7">
                  <c:v>52.898503173906825</c:v>
                </c:pt>
                <c:pt idx="8">
                  <c:v>47.85673520696421</c:v>
                </c:pt>
                <c:pt idx="9">
                  <c:v>39.98672156350353</c:v>
                </c:pt>
                <c:pt idx="10">
                  <c:v>29.28846224352481</c:v>
                </c:pt>
                <c:pt idx="11">
                  <c:v>15.761957247028015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Excise Tax Rate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Sheet1!$D$379:$D$423</c:f>
              <c:numCache>
                <c:ptCount val="45"/>
                <c:pt idx="0">
                  <c:v>1</c:v>
                </c:pt>
                <c:pt idx="1">
                  <c:v>2.880241233365431</c:v>
                </c:pt>
                <c:pt idx="2">
                  <c:v>4.760482466730862</c:v>
                </c:pt>
                <c:pt idx="3">
                  <c:v>6.640723700096292</c:v>
                </c:pt>
                <c:pt idx="4">
                  <c:v>8.520964933461723</c:v>
                </c:pt>
                <c:pt idx="5">
                  <c:v>10.401206166827153</c:v>
                </c:pt>
                <c:pt idx="6">
                  <c:v>12.281447400192583</c:v>
                </c:pt>
                <c:pt idx="7">
                  <c:v>14.161688633558013</c:v>
                </c:pt>
                <c:pt idx="8">
                  <c:v>16.041929866923443</c:v>
                </c:pt>
                <c:pt idx="9">
                  <c:v>17.922171100288875</c:v>
                </c:pt>
                <c:pt idx="10">
                  <c:v>19.802412333654306</c:v>
                </c:pt>
                <c:pt idx="11">
                  <c:v>21.682653567019738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cat>
          <c:val>
            <c:numRef>
              <c:f>Sheet1!$G$379:$G$423</c:f>
              <c:numCache>
                <c:ptCount val="45"/>
                <c:pt idx="0">
                  <c:v>9</c:v>
                </c:pt>
                <c:pt idx="1">
                  <c:v>8.247903506653827</c:v>
                </c:pt>
                <c:pt idx="2">
                  <c:v>7.4958070133076555</c:v>
                </c:pt>
                <c:pt idx="3">
                  <c:v>6.743710519961484</c:v>
                </c:pt>
                <c:pt idx="4">
                  <c:v>5.991614026615311</c:v>
                </c:pt>
                <c:pt idx="5">
                  <c:v>5.239517533269138</c:v>
                </c:pt>
                <c:pt idx="6">
                  <c:v>4.487421039922966</c:v>
                </c:pt>
                <c:pt idx="7">
                  <c:v>3.7353245465767944</c:v>
                </c:pt>
                <c:pt idx="8">
                  <c:v>2.983228053230623</c:v>
                </c:pt>
                <c:pt idx="9">
                  <c:v>2.2311315598844503</c:v>
                </c:pt>
                <c:pt idx="10">
                  <c:v>1.4790350665382777</c:v>
                </c:pt>
                <c:pt idx="11">
                  <c:v>0.7269385731921041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marker val="1"/>
        <c:axId val="30068283"/>
        <c:axId val="2179092"/>
      </c:lineChart>
      <c:catAx>
        <c:axId val="3006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179092"/>
        <c:crosses val="autoZero"/>
        <c:auto val="1"/>
        <c:lblOffset val="100"/>
        <c:noMultiLvlLbl val="0"/>
      </c:catAx>
      <c:valAx>
        <c:axId val="217909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006828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0975"/>
          <c:w val="0.70675"/>
          <c:h val="0.06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Maximum Excise Tax Market Equilibrium</a:t>
            </a:r>
          </a:p>
        </c:rich>
      </c:tx>
      <c:layout>
        <c:manualLayout>
          <c:xMode val="factor"/>
          <c:yMode val="factor"/>
          <c:x val="0.027"/>
          <c:y val="0.01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8225"/>
          <c:w val="0.96825"/>
          <c:h val="0.6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Sheet1!$I$378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Sheet1!$H$379:$H$430</c:f>
              <c:numCache>
                <c:ptCount val="52"/>
                <c:pt idx="0">
                  <c:v>1</c:v>
                </c:pt>
                <c:pt idx="1">
                  <c:v>2.880241233365431</c:v>
                </c:pt>
                <c:pt idx="2">
                  <c:v>4.760482466730862</c:v>
                </c:pt>
                <c:pt idx="3">
                  <c:v>6.640723700096292</c:v>
                </c:pt>
                <c:pt idx="4">
                  <c:v>8.520964933461723</c:v>
                </c:pt>
                <c:pt idx="5">
                  <c:v>10.401206166827153</c:v>
                </c:pt>
                <c:pt idx="6">
                  <c:v>12.281447400192583</c:v>
                </c:pt>
                <c:pt idx="7">
                  <c:v>14.161688633558013</c:v>
                </c:pt>
                <c:pt idx="8">
                  <c:v>16.041929866923443</c:v>
                </c:pt>
                <c:pt idx="9">
                  <c:v>17.922171100288875</c:v>
                </c:pt>
                <c:pt idx="10">
                  <c:v>19.802412333654306</c:v>
                </c:pt>
                <c:pt idx="11">
                  <c:v>21.682653567019738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Sheet1!$I$379:$I$430</c:f>
              <c:numCache>
                <c:ptCount val="52"/>
                <c:pt idx="0">
                  <c:v>9.8</c:v>
                </c:pt>
                <c:pt idx="1">
                  <c:v>9.423951753326914</c:v>
                </c:pt>
                <c:pt idx="2">
                  <c:v>9.047903506653828</c:v>
                </c:pt>
                <c:pt idx="3">
                  <c:v>8.671855259980742</c:v>
                </c:pt>
                <c:pt idx="4">
                  <c:v>8.295807013307655</c:v>
                </c:pt>
                <c:pt idx="5">
                  <c:v>7.919758766634569</c:v>
                </c:pt>
                <c:pt idx="6">
                  <c:v>7.543710519961483</c:v>
                </c:pt>
                <c:pt idx="7">
                  <c:v>7.167662273288397</c:v>
                </c:pt>
                <c:pt idx="8">
                  <c:v>6.791614026615312</c:v>
                </c:pt>
                <c:pt idx="9">
                  <c:v>6.415565779942225</c:v>
                </c:pt>
                <c:pt idx="10">
                  <c:v>6.039517533269139</c:v>
                </c:pt>
                <c:pt idx="11">
                  <c:v>5.663469286596052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Sheet1!$J$378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Sheet1!$H$379:$H$430</c:f>
              <c:numCache>
                <c:ptCount val="52"/>
                <c:pt idx="0">
                  <c:v>1</c:v>
                </c:pt>
                <c:pt idx="1">
                  <c:v>2.880241233365431</c:v>
                </c:pt>
                <c:pt idx="2">
                  <c:v>4.760482466730862</c:v>
                </c:pt>
                <c:pt idx="3">
                  <c:v>6.640723700096292</c:v>
                </c:pt>
                <c:pt idx="4">
                  <c:v>8.520964933461723</c:v>
                </c:pt>
                <c:pt idx="5">
                  <c:v>10.401206166827153</c:v>
                </c:pt>
                <c:pt idx="6">
                  <c:v>12.281447400192583</c:v>
                </c:pt>
                <c:pt idx="7">
                  <c:v>14.161688633558013</c:v>
                </c:pt>
                <c:pt idx="8">
                  <c:v>16.041929866923443</c:v>
                </c:pt>
                <c:pt idx="9">
                  <c:v>17.922171100288875</c:v>
                </c:pt>
                <c:pt idx="10">
                  <c:v>19.802412333654306</c:v>
                </c:pt>
                <c:pt idx="11">
                  <c:v>21.682653567019738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Sheet1!$J$379:$J$430</c:f>
              <c:numCache>
                <c:ptCount val="52"/>
                <c:pt idx="0">
                  <c:v>0.8</c:v>
                </c:pt>
                <c:pt idx="1">
                  <c:v>1.1760482466730862</c:v>
                </c:pt>
                <c:pt idx="2">
                  <c:v>1.5520964933461725</c:v>
                </c:pt>
                <c:pt idx="3">
                  <c:v>1.9281447400192584</c:v>
                </c:pt>
                <c:pt idx="4">
                  <c:v>2.3041929866923447</c:v>
                </c:pt>
                <c:pt idx="5">
                  <c:v>2.6802412333654306</c:v>
                </c:pt>
                <c:pt idx="6">
                  <c:v>3.056289480038517</c:v>
                </c:pt>
                <c:pt idx="7">
                  <c:v>3.432337726711603</c:v>
                </c:pt>
                <c:pt idx="8">
                  <c:v>3.8083859733846888</c:v>
                </c:pt>
                <c:pt idx="9">
                  <c:v>4.184434220057775</c:v>
                </c:pt>
                <c:pt idx="10">
                  <c:v>4.560482466730861</c:v>
                </c:pt>
                <c:pt idx="11">
                  <c:v>4.936530713403948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Sheet1!$K$378</c:f>
              <c:strCache>
                <c:ptCount val="1"/>
                <c:pt idx="0">
                  <c:v>Optimal Tax Rate Supply Function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Sheet1!$H$379:$H$430</c:f>
              <c:numCache>
                <c:ptCount val="52"/>
                <c:pt idx="0">
                  <c:v>1</c:v>
                </c:pt>
                <c:pt idx="1">
                  <c:v>2.880241233365431</c:v>
                </c:pt>
                <c:pt idx="2">
                  <c:v>4.760482466730862</c:v>
                </c:pt>
                <c:pt idx="3">
                  <c:v>6.640723700096292</c:v>
                </c:pt>
                <c:pt idx="4">
                  <c:v>8.520964933461723</c:v>
                </c:pt>
                <c:pt idx="5">
                  <c:v>10.401206166827153</c:v>
                </c:pt>
                <c:pt idx="6">
                  <c:v>12.281447400192583</c:v>
                </c:pt>
                <c:pt idx="7">
                  <c:v>14.161688633558013</c:v>
                </c:pt>
                <c:pt idx="8">
                  <c:v>16.041929866923443</c:v>
                </c:pt>
                <c:pt idx="9">
                  <c:v>17.922171100288875</c:v>
                </c:pt>
                <c:pt idx="10">
                  <c:v>19.802412333654306</c:v>
                </c:pt>
                <c:pt idx="11">
                  <c:v>21.682653567019738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Sheet1!$K$379:$K$430</c:f>
              <c:numCache>
                <c:ptCount val="52"/>
                <c:pt idx="0">
                  <c:v>5.5</c:v>
                </c:pt>
                <c:pt idx="1">
                  <c:v>5.876048246673086</c:v>
                </c:pt>
                <c:pt idx="2">
                  <c:v>6.252096493346173</c:v>
                </c:pt>
                <c:pt idx="3">
                  <c:v>6.628144740019259</c:v>
                </c:pt>
                <c:pt idx="4">
                  <c:v>7.004192986692345</c:v>
                </c:pt>
                <c:pt idx="5">
                  <c:v>7.380241233365431</c:v>
                </c:pt>
                <c:pt idx="6">
                  <c:v>7.756289480038517</c:v>
                </c:pt>
                <c:pt idx="7">
                  <c:v>8.132337726711603</c:v>
                </c:pt>
                <c:pt idx="8">
                  <c:v>8.508385973384689</c:v>
                </c:pt>
                <c:pt idx="9">
                  <c:v>8.884434220057775</c:v>
                </c:pt>
                <c:pt idx="10">
                  <c:v>9.260482466730862</c:v>
                </c:pt>
                <c:pt idx="11">
                  <c:v>9.636530713403948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19611829"/>
        <c:axId val="42288734"/>
      </c:scatterChart>
      <c:valAx>
        <c:axId val="1961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2288734"/>
        <c:crosses val="autoZero"/>
        <c:crossBetween val="midCat"/>
        <c:dispUnits/>
      </c:valAx>
      <c:valAx>
        <c:axId val="42288734"/>
        <c:scaling>
          <c:orientation val="minMax"/>
        </c:scaling>
        <c:axPos val="l"/>
        <c:majorGridlines/>
        <c:delete val="0"/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9611829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888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276</xdr:row>
      <xdr:rowOff>104775</xdr:rowOff>
    </xdr:from>
    <xdr:to>
      <xdr:col>7</xdr:col>
      <xdr:colOff>733425</xdr:colOff>
      <xdr:row>276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857750" y="48806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277</xdr:row>
      <xdr:rowOff>85725</xdr:rowOff>
    </xdr:from>
    <xdr:to>
      <xdr:col>7</xdr:col>
      <xdr:colOff>742950</xdr:colOff>
      <xdr:row>277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57750" y="489775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257175</xdr:colOff>
      <xdr:row>331</xdr:row>
      <xdr:rowOff>28575</xdr:rowOff>
    </xdr:from>
    <xdr:to>
      <xdr:col>10</xdr:col>
      <xdr:colOff>428625</xdr:colOff>
      <xdr:row>342</xdr:row>
      <xdr:rowOff>123825</xdr:rowOff>
    </xdr:to>
    <xdr:graphicFrame>
      <xdr:nvGraphicFramePr>
        <xdr:cNvPr id="3" name="Chart 5"/>
        <xdr:cNvGraphicFramePr/>
      </xdr:nvGraphicFramePr>
      <xdr:xfrm>
        <a:off x="723900" y="58835925"/>
        <a:ext cx="68675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95</xdr:row>
      <xdr:rowOff>95250</xdr:rowOff>
    </xdr:from>
    <xdr:to>
      <xdr:col>7</xdr:col>
      <xdr:colOff>733425</xdr:colOff>
      <xdr:row>95</xdr:row>
      <xdr:rowOff>95250</xdr:rowOff>
    </xdr:to>
    <xdr:sp>
      <xdr:nvSpPr>
        <xdr:cNvPr id="4" name="Line 9"/>
        <xdr:cNvSpPr>
          <a:spLocks/>
        </xdr:cNvSpPr>
      </xdr:nvSpPr>
      <xdr:spPr>
        <a:xfrm>
          <a:off x="4857750" y="166306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96</xdr:row>
      <xdr:rowOff>85725</xdr:rowOff>
    </xdr:from>
    <xdr:to>
      <xdr:col>7</xdr:col>
      <xdr:colOff>742950</xdr:colOff>
      <xdr:row>96</xdr:row>
      <xdr:rowOff>85725</xdr:rowOff>
    </xdr:to>
    <xdr:sp>
      <xdr:nvSpPr>
        <xdr:cNvPr id="5" name="Line 10"/>
        <xdr:cNvSpPr>
          <a:spLocks/>
        </xdr:cNvSpPr>
      </xdr:nvSpPr>
      <xdr:spPr>
        <a:xfrm>
          <a:off x="4857750" y="16792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104775</xdr:colOff>
      <xdr:row>325</xdr:row>
      <xdr:rowOff>85725</xdr:rowOff>
    </xdr:from>
    <xdr:to>
      <xdr:col>6</xdr:col>
      <xdr:colOff>800100</xdr:colOff>
      <xdr:row>325</xdr:row>
      <xdr:rowOff>85725</xdr:rowOff>
    </xdr:to>
    <xdr:sp>
      <xdr:nvSpPr>
        <xdr:cNvPr id="6" name="Line 11"/>
        <xdr:cNvSpPr>
          <a:spLocks/>
        </xdr:cNvSpPr>
      </xdr:nvSpPr>
      <xdr:spPr>
        <a:xfrm flipH="1">
          <a:off x="4114800" y="57807225"/>
          <a:ext cx="685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333375</xdr:colOff>
      <xdr:row>348</xdr:row>
      <xdr:rowOff>0</xdr:rowOff>
    </xdr:from>
    <xdr:to>
      <xdr:col>10</xdr:col>
      <xdr:colOff>447675</xdr:colOff>
      <xdr:row>360</xdr:row>
      <xdr:rowOff>114300</xdr:rowOff>
    </xdr:to>
    <xdr:graphicFrame>
      <xdr:nvGraphicFramePr>
        <xdr:cNvPr id="7" name="Chart 12"/>
        <xdr:cNvGraphicFramePr/>
      </xdr:nvGraphicFramePr>
      <xdr:xfrm>
        <a:off x="800100" y="61722000"/>
        <a:ext cx="68103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4"/>
  <sheetViews>
    <sheetView tabSelected="1" workbookViewId="0" topLeftCell="A1">
      <selection activeCell="C1" sqref="C1"/>
    </sheetView>
  </sheetViews>
  <sheetFormatPr defaultColWidth="11.421875" defaultRowHeight="12"/>
  <cols>
    <col min="1" max="1" width="7.00390625" style="1" customWidth="1"/>
    <col min="2" max="2" width="6.00390625" style="2" customWidth="1"/>
    <col min="3" max="3" width="8.421875" style="1" customWidth="1"/>
    <col min="4" max="4" width="12.8515625" style="1" customWidth="1"/>
    <col min="5" max="5" width="12.8515625" style="1" bestFit="1" customWidth="1"/>
    <col min="6" max="6" width="13.00390625" style="1" customWidth="1"/>
    <col min="7" max="7" width="12.140625" style="1" bestFit="1" customWidth="1"/>
    <col min="8" max="8" width="12.140625" style="1" customWidth="1"/>
    <col min="9" max="9" width="12.421875" style="1" customWidth="1"/>
    <col min="10" max="10" width="10.57421875" style="1" customWidth="1"/>
    <col min="11" max="11" width="9.140625" style="1" customWidth="1"/>
    <col min="12" max="12" width="11.140625" style="1" customWidth="1"/>
    <col min="13" max="13" width="7.8515625" style="1" customWidth="1"/>
    <col min="14" max="14" width="6.421875" style="1" customWidth="1"/>
    <col min="15" max="15" width="7.8515625" style="1" customWidth="1"/>
    <col min="16" max="16384" width="11.00390625" style="1" customWidth="1"/>
  </cols>
  <sheetData>
    <row r="1" spans="4:23" ht="15" thickBot="1">
      <c r="D1" s="5"/>
      <c r="E1" s="6"/>
      <c r="F1" s="4"/>
      <c r="G1" s="3" t="s">
        <v>144</v>
      </c>
      <c r="H1" s="4"/>
      <c r="I1" s="6"/>
      <c r="J1" s="6"/>
      <c r="K1" s="7"/>
      <c r="P1" s="2"/>
      <c r="Q1" s="5"/>
      <c r="R1" s="6"/>
      <c r="S1" s="4"/>
      <c r="T1" s="3" t="s">
        <v>123</v>
      </c>
      <c r="U1" s="4"/>
      <c r="V1" s="6"/>
      <c r="W1" s="7"/>
    </row>
    <row r="2" spans="3:24" ht="15" thickBot="1">
      <c r="C2" s="107" t="s">
        <v>178</v>
      </c>
      <c r="D2" s="37"/>
      <c r="E2" s="74"/>
      <c r="F2" s="75"/>
      <c r="G2" s="74"/>
      <c r="H2" s="37"/>
      <c r="I2" s="37"/>
      <c r="L2" s="2" t="s">
        <v>143</v>
      </c>
      <c r="P2" s="2"/>
      <c r="Q2" s="37"/>
      <c r="R2" s="37"/>
      <c r="S2" s="74"/>
      <c r="T2" s="75"/>
      <c r="U2" s="74"/>
      <c r="V2" s="37"/>
      <c r="W2" s="37"/>
      <c r="X2" s="2" t="s">
        <v>143</v>
      </c>
    </row>
    <row r="3" spans="3:24" ht="15" thickBot="1">
      <c r="C3" s="150" t="s">
        <v>13</v>
      </c>
      <c r="D3" s="54"/>
      <c r="E3" s="54"/>
      <c r="F3" s="54"/>
      <c r="G3" s="54"/>
      <c r="H3" s="54"/>
      <c r="I3" s="54"/>
      <c r="J3" s="54"/>
      <c r="K3" s="54"/>
      <c r="L3" s="54"/>
      <c r="M3" s="80"/>
      <c r="N3" s="37"/>
      <c r="O3" s="37"/>
      <c r="P3" s="2"/>
      <c r="T3" s="2" t="s">
        <v>125</v>
      </c>
      <c r="U3" s="8" t="s">
        <v>124</v>
      </c>
      <c r="V3" s="37"/>
      <c r="W3" s="37"/>
      <c r="X3" s="2"/>
    </row>
    <row r="4" spans="3:24" ht="15" thickBot="1">
      <c r="C4" s="80"/>
      <c r="D4" s="37" t="s">
        <v>14</v>
      </c>
      <c r="E4" s="37"/>
      <c r="F4" s="37"/>
      <c r="G4" s="37"/>
      <c r="H4" s="37"/>
      <c r="I4" s="37"/>
      <c r="J4" s="37"/>
      <c r="K4" s="37"/>
      <c r="L4" s="37"/>
      <c r="M4" s="80"/>
      <c r="N4" s="37"/>
      <c r="O4" s="37"/>
      <c r="P4" s="2"/>
      <c r="S4" s="149" t="s">
        <v>126</v>
      </c>
      <c r="T4" s="105">
        <v>10</v>
      </c>
      <c r="U4" s="105">
        <v>12</v>
      </c>
      <c r="V4" s="37"/>
      <c r="W4" s="37"/>
      <c r="X4" s="2"/>
    </row>
    <row r="5" spans="3:24" ht="15" thickBot="1">
      <c r="C5" s="80"/>
      <c r="D5" s="37" t="s">
        <v>15</v>
      </c>
      <c r="E5" s="37"/>
      <c r="F5" s="37"/>
      <c r="G5" s="37"/>
      <c r="H5" s="37"/>
      <c r="I5" s="37"/>
      <c r="J5" s="37"/>
      <c r="K5" s="37"/>
      <c r="L5" s="37"/>
      <c r="M5" s="80"/>
      <c r="N5" s="37"/>
      <c r="O5" s="37"/>
      <c r="P5" s="2"/>
      <c r="S5" s="149" t="s">
        <v>127</v>
      </c>
      <c r="T5" s="105">
        <v>-0.2</v>
      </c>
      <c r="U5" s="105">
        <v>-0.5</v>
      </c>
      <c r="V5" s="37"/>
      <c r="W5" s="37"/>
      <c r="X5" s="2"/>
    </row>
    <row r="6" spans="3:24" ht="15" thickBot="1">
      <c r="C6" s="80"/>
      <c r="D6" s="37" t="s">
        <v>16</v>
      </c>
      <c r="E6" s="37"/>
      <c r="F6" s="37"/>
      <c r="G6" s="37"/>
      <c r="H6" s="37"/>
      <c r="I6" s="37"/>
      <c r="J6" s="37"/>
      <c r="K6" s="37"/>
      <c r="L6" s="37"/>
      <c r="M6" s="80"/>
      <c r="N6" s="37"/>
      <c r="O6" s="37"/>
      <c r="P6" s="2"/>
      <c r="S6" s="149" t="s">
        <v>128</v>
      </c>
      <c r="T6" s="105">
        <v>0.6</v>
      </c>
      <c r="U6" s="105">
        <v>0.5</v>
      </c>
      <c r="V6" s="37"/>
      <c r="W6" s="37"/>
      <c r="X6" s="2"/>
    </row>
    <row r="7" spans="3:24" ht="15" thickBot="1">
      <c r="C7" s="80"/>
      <c r="D7" s="37" t="s">
        <v>17</v>
      </c>
      <c r="E7" s="37"/>
      <c r="F7" s="37"/>
      <c r="G7" s="37"/>
      <c r="H7" s="37"/>
      <c r="I7" s="37"/>
      <c r="J7" s="37"/>
      <c r="K7" s="37"/>
      <c r="L7" s="37"/>
      <c r="M7" s="80"/>
      <c r="N7" s="37"/>
      <c r="O7" s="37"/>
      <c r="P7" s="2"/>
      <c r="S7" s="149" t="s">
        <v>129</v>
      </c>
      <c r="T7" s="105">
        <v>0.2</v>
      </c>
      <c r="U7" s="105">
        <v>0.25</v>
      </c>
      <c r="V7" s="37"/>
      <c r="W7" s="37"/>
      <c r="X7" s="2"/>
    </row>
    <row r="8" spans="3:24" ht="15" thickBot="1">
      <c r="C8" s="72"/>
      <c r="D8" s="151" t="s">
        <v>18</v>
      </c>
      <c r="E8" s="151"/>
      <c r="F8" s="151"/>
      <c r="G8" s="151"/>
      <c r="H8" s="151"/>
      <c r="I8" s="151"/>
      <c r="J8" s="151"/>
      <c r="K8" s="151"/>
      <c r="L8" s="151"/>
      <c r="M8" s="80"/>
      <c r="N8" s="37"/>
      <c r="O8" s="37"/>
      <c r="P8" s="2"/>
      <c r="S8" s="149" t="s">
        <v>130</v>
      </c>
      <c r="T8" s="105">
        <v>0.24</v>
      </c>
      <c r="U8" s="105">
        <v>0.25</v>
      </c>
      <c r="V8" s="37"/>
      <c r="W8" s="37"/>
      <c r="X8" s="2"/>
    </row>
    <row r="9" spans="3:24" ht="15" thickBot="1">
      <c r="C9" s="37"/>
      <c r="D9" s="37" t="s">
        <v>110</v>
      </c>
      <c r="E9" s="37"/>
      <c r="F9" s="74"/>
      <c r="G9" s="75"/>
      <c r="H9" s="74"/>
      <c r="I9" s="37"/>
      <c r="J9" s="37"/>
      <c r="P9" s="2"/>
      <c r="S9" s="149" t="s">
        <v>131</v>
      </c>
      <c r="T9" s="105">
        <v>0.45</v>
      </c>
      <c r="U9" s="105">
        <v>0.4</v>
      </c>
      <c r="V9" s="37"/>
      <c r="W9" s="37"/>
      <c r="X9" s="2"/>
    </row>
    <row r="10" spans="3:24" ht="15" thickBot="1">
      <c r="C10" s="37"/>
      <c r="D10" s="37" t="s">
        <v>111</v>
      </c>
      <c r="E10" s="37"/>
      <c r="F10" s="74"/>
      <c r="G10" s="75"/>
      <c r="H10" s="74"/>
      <c r="I10" s="37"/>
      <c r="J10" s="37"/>
      <c r="P10" s="2"/>
      <c r="S10" s="149" t="s">
        <v>132</v>
      </c>
      <c r="T10" s="105">
        <v>0.5</v>
      </c>
      <c r="U10" s="105">
        <v>0.5</v>
      </c>
      <c r="V10" s="37"/>
      <c r="W10" s="37"/>
      <c r="X10" s="2"/>
    </row>
    <row r="11" spans="3:24" ht="15" thickBot="1">
      <c r="C11" s="37"/>
      <c r="D11" s="37" t="s">
        <v>112</v>
      </c>
      <c r="E11" s="37"/>
      <c r="F11" s="74"/>
      <c r="G11" s="75"/>
      <c r="H11" s="74"/>
      <c r="I11" s="37"/>
      <c r="J11" s="37"/>
      <c r="P11" s="2"/>
      <c r="S11" s="149" t="s">
        <v>133</v>
      </c>
      <c r="T11" s="125">
        <v>2</v>
      </c>
      <c r="U11" s="125">
        <v>2</v>
      </c>
      <c r="V11" s="37"/>
      <c r="W11" s="37"/>
      <c r="X11" s="2"/>
    </row>
    <row r="12" spans="4:24" ht="13.5">
      <c r="D12" s="37" t="s">
        <v>113</v>
      </c>
      <c r="E12" s="37"/>
      <c r="F12" s="74"/>
      <c r="G12" s="75"/>
      <c r="H12" s="74"/>
      <c r="I12" s="37"/>
      <c r="J12" s="37"/>
      <c r="P12" s="2"/>
      <c r="S12" s="44"/>
      <c r="T12" s="17"/>
      <c r="U12" s="17"/>
      <c r="V12" s="37"/>
      <c r="W12" s="37"/>
      <c r="X12" s="2"/>
    </row>
    <row r="13" ht="13.5">
      <c r="D13" s="1" t="s">
        <v>114</v>
      </c>
    </row>
    <row r="14" ht="13.5">
      <c r="D14" s="1" t="s">
        <v>115</v>
      </c>
    </row>
    <row r="15" ht="13.5">
      <c r="D15" s="1" t="s">
        <v>19</v>
      </c>
    </row>
    <row r="16" ht="13.5">
      <c r="D16" s="1" t="s">
        <v>20</v>
      </c>
    </row>
    <row r="17" ht="15" thickBot="1">
      <c r="D17" s="1" t="s">
        <v>21</v>
      </c>
    </row>
    <row r="18" spans="2:11" ht="15" thickBot="1">
      <c r="B18" s="1"/>
      <c r="C18" s="2"/>
      <c r="D18" s="118"/>
      <c r="E18" s="114"/>
      <c r="F18" s="114"/>
      <c r="G18" s="115" t="s">
        <v>116</v>
      </c>
      <c r="H18" s="114"/>
      <c r="I18" s="114"/>
      <c r="J18" s="114"/>
      <c r="K18" s="117"/>
    </row>
    <row r="19" spans="2:10" ht="13.5" customHeight="1" thickBot="1">
      <c r="B19" s="1"/>
      <c r="C19" s="2"/>
      <c r="D19" s="1" t="s">
        <v>7</v>
      </c>
      <c r="E19" s="9"/>
      <c r="I19" s="17"/>
      <c r="J19" s="17"/>
    </row>
    <row r="20" spans="2:10" ht="13.5" customHeight="1" thickBot="1">
      <c r="B20" s="1"/>
      <c r="C20" s="2"/>
      <c r="D20" s="21" t="s">
        <v>145</v>
      </c>
      <c r="E20" s="46" t="s">
        <v>157</v>
      </c>
      <c r="F20" s="33" t="s">
        <v>158</v>
      </c>
      <c r="G20" s="24" t="s">
        <v>146</v>
      </c>
      <c r="I20" s="17"/>
      <c r="J20" s="17"/>
    </row>
    <row r="21" spans="2:10" ht="13.5" customHeight="1" thickBot="1">
      <c r="B21" s="1"/>
      <c r="C21" s="2"/>
      <c r="D21" s="21" t="s">
        <v>147</v>
      </c>
      <c r="E21" s="46" t="s">
        <v>159</v>
      </c>
      <c r="F21" s="33" t="s">
        <v>160</v>
      </c>
      <c r="G21" s="24" t="s">
        <v>148</v>
      </c>
      <c r="I21" s="17"/>
      <c r="J21" s="17"/>
    </row>
    <row r="22" spans="2:10" ht="13.5" customHeight="1" thickBot="1">
      <c r="B22" s="1"/>
      <c r="C22" s="2"/>
      <c r="D22" s="1" t="s">
        <v>8</v>
      </c>
      <c r="E22" s="45"/>
      <c r="F22" s="2"/>
      <c r="G22" s="8"/>
      <c r="I22" s="17"/>
      <c r="J22" s="17"/>
    </row>
    <row r="23" spans="2:9" ht="13.5" customHeight="1" thickBot="1">
      <c r="B23" s="1"/>
      <c r="C23" s="2"/>
      <c r="D23" s="21" t="s">
        <v>145</v>
      </c>
      <c r="E23" s="22">
        <f>$T$4</f>
        <v>10</v>
      </c>
      <c r="F23" s="22">
        <f>$T$5</f>
        <v>-0.2</v>
      </c>
      <c r="G23" s="24" t="s">
        <v>146</v>
      </c>
      <c r="H23" s="80"/>
      <c r="I23"/>
    </row>
    <row r="24" spans="2:21" ht="13.5" customHeight="1" thickBot="1">
      <c r="B24" s="1"/>
      <c r="C24" s="2"/>
      <c r="D24" s="13" t="s">
        <v>147</v>
      </c>
      <c r="E24" s="14">
        <f>$T$6</f>
        <v>0.6</v>
      </c>
      <c r="F24" s="39">
        <f>$T$7</f>
        <v>0.2</v>
      </c>
      <c r="G24" s="19" t="s">
        <v>148</v>
      </c>
      <c r="H24" s="80"/>
      <c r="I24"/>
      <c r="S24" s="44"/>
      <c r="T24" s="17"/>
      <c r="U24" s="17"/>
    </row>
    <row r="25" spans="2:21" ht="13.5" customHeight="1" thickBot="1">
      <c r="B25" s="1"/>
      <c r="C25" s="2"/>
      <c r="D25" s="1" t="s">
        <v>155</v>
      </c>
      <c r="E25" s="9"/>
      <c r="I25" s="17"/>
      <c r="J25" s="17"/>
      <c r="S25" s="44"/>
      <c r="T25" s="17"/>
      <c r="U25" s="17"/>
    </row>
    <row r="26" spans="2:21" ht="13.5" customHeight="1" thickBot="1">
      <c r="B26" s="1"/>
      <c r="C26" s="2"/>
      <c r="D26" s="21" t="s">
        <v>149</v>
      </c>
      <c r="E26" s="22"/>
      <c r="F26" s="40"/>
      <c r="G26" s="47"/>
      <c r="I26" s="17"/>
      <c r="J26" s="17"/>
      <c r="S26" s="44"/>
      <c r="T26" s="17"/>
      <c r="U26" s="17"/>
    </row>
    <row r="27" spans="2:21" ht="13.5" customHeight="1" thickBot="1">
      <c r="B27" s="1"/>
      <c r="C27" s="2"/>
      <c r="D27" s="21" t="s">
        <v>150</v>
      </c>
      <c r="E27" s="30"/>
      <c r="G27"/>
      <c r="J27" s="17"/>
      <c r="S27" s="44"/>
      <c r="T27" s="17"/>
      <c r="U27" s="17"/>
    </row>
    <row r="28" spans="2:21" ht="13.5" customHeight="1" thickBot="1">
      <c r="B28" s="1"/>
      <c r="C28" s="2"/>
      <c r="D28" s="13" t="s">
        <v>152</v>
      </c>
      <c r="E28" s="28"/>
      <c r="I28" s="17"/>
      <c r="J28" s="17"/>
      <c r="S28" s="44"/>
      <c r="T28" s="17"/>
      <c r="U28" s="17"/>
    </row>
    <row r="29" spans="2:21" ht="13.5" customHeight="1" thickBot="1">
      <c r="B29" s="1"/>
      <c r="C29" s="2"/>
      <c r="D29" s="43" t="s">
        <v>163</v>
      </c>
      <c r="E29" s="42"/>
      <c r="I29" s="17"/>
      <c r="J29" s="17"/>
      <c r="S29" s="44"/>
      <c r="T29" s="17"/>
      <c r="U29" s="17"/>
    </row>
    <row r="30" spans="2:21" ht="13.5" customHeight="1" thickBot="1">
      <c r="B30" s="1"/>
      <c r="C30" s="2"/>
      <c r="D30" s="21" t="s">
        <v>151</v>
      </c>
      <c r="E30" s="27"/>
      <c r="F30" s="70"/>
      <c r="G30" s="76"/>
      <c r="H30" s="77"/>
      <c r="I30" s="17"/>
      <c r="J30" s="17"/>
      <c r="S30" s="44"/>
      <c r="T30" s="17"/>
      <c r="U30" s="17"/>
    </row>
    <row r="31" spans="2:21" ht="13.5" customHeight="1" thickBot="1">
      <c r="B31" s="1"/>
      <c r="C31" s="2"/>
      <c r="D31" s="43" t="s">
        <v>156</v>
      </c>
      <c r="E31" s="42"/>
      <c r="I31" s="17"/>
      <c r="J31" s="17"/>
      <c r="S31" s="44"/>
      <c r="T31" s="17"/>
      <c r="U31" s="17"/>
    </row>
    <row r="32" spans="2:21" ht="13.5" customHeight="1" thickBot="1">
      <c r="B32" s="1"/>
      <c r="C32" s="2"/>
      <c r="D32" s="21" t="s">
        <v>153</v>
      </c>
      <c r="E32" s="30"/>
      <c r="F32" s="65"/>
      <c r="G32" s="78"/>
      <c r="H32" s="67"/>
      <c r="I32" s="79"/>
      <c r="J32" s="17"/>
      <c r="K32" s="17"/>
      <c r="S32" s="44"/>
      <c r="T32" s="17"/>
      <c r="U32" s="17"/>
    </row>
    <row r="33" spans="2:10" ht="13.5" customHeight="1" thickBot="1">
      <c r="B33" s="1"/>
      <c r="C33" s="2"/>
      <c r="D33" s="43"/>
      <c r="E33" s="42"/>
      <c r="I33" s="17"/>
      <c r="J33" s="17"/>
    </row>
    <row r="34" spans="2:11" ht="13.5" customHeight="1" thickBot="1">
      <c r="B34" s="1"/>
      <c r="C34" s="2"/>
      <c r="D34" s="112"/>
      <c r="E34" s="113"/>
      <c r="F34" s="114"/>
      <c r="G34" s="115" t="s">
        <v>166</v>
      </c>
      <c r="H34" s="114"/>
      <c r="I34" s="116"/>
      <c r="J34" s="116"/>
      <c r="K34" s="117"/>
    </row>
    <row r="35" spans="2:10" ht="13.5" customHeight="1">
      <c r="B35" s="1"/>
      <c r="C35" s="2"/>
      <c r="D35" s="43" t="s">
        <v>161</v>
      </c>
      <c r="E35" s="42"/>
      <c r="I35" s="17"/>
      <c r="J35" s="17"/>
    </row>
    <row r="36" spans="2:10" ht="13.5" customHeight="1" thickBot="1">
      <c r="B36" s="1"/>
      <c r="C36" s="2"/>
      <c r="D36" s="1" t="s">
        <v>162</v>
      </c>
      <c r="E36" s="9"/>
      <c r="H36" s="29"/>
      <c r="I36" s="29"/>
      <c r="J36"/>
    </row>
    <row r="37" spans="2:11" ht="13.5" customHeight="1" thickBot="1">
      <c r="B37" s="1"/>
      <c r="C37" s="2" t="s">
        <v>97</v>
      </c>
      <c r="D37" s="121"/>
      <c r="E37" s="119"/>
      <c r="F37" s="114"/>
      <c r="G37" s="115" t="s">
        <v>96</v>
      </c>
      <c r="H37" s="120"/>
      <c r="I37" s="120"/>
      <c r="J37" s="122"/>
      <c r="K37" s="117"/>
    </row>
    <row r="38" spans="2:10" ht="13.5" customHeight="1">
      <c r="B38" s="1"/>
      <c r="C38" s="2"/>
      <c r="D38" s="1" t="s">
        <v>117</v>
      </c>
      <c r="E38" s="9"/>
      <c r="H38" s="29"/>
      <c r="I38" s="29"/>
      <c r="J38"/>
    </row>
    <row r="39" spans="2:10" ht="13.5" customHeight="1">
      <c r="B39" s="1"/>
      <c r="C39" s="2"/>
      <c r="D39" s="1" t="s">
        <v>118</v>
      </c>
      <c r="E39" s="9"/>
      <c r="H39" s="29"/>
      <c r="I39" s="29"/>
      <c r="J39"/>
    </row>
    <row r="40" spans="2:10" ht="13.5" customHeight="1" thickBot="1">
      <c r="B40" s="1"/>
      <c r="C40" s="2"/>
      <c r="D40" s="1" t="s">
        <v>6</v>
      </c>
      <c r="E40" s="9"/>
      <c r="H40" s="29"/>
      <c r="I40" s="29"/>
      <c r="J40"/>
    </row>
    <row r="41" spans="2:10" ht="13.5" customHeight="1" thickBot="1">
      <c r="B41" s="1"/>
      <c r="C41" s="2"/>
      <c r="D41" s="21" t="str">
        <f>D23</f>
        <v>Pd=</v>
      </c>
      <c r="E41" s="58">
        <f>$E$199</f>
        <v>10</v>
      </c>
      <c r="F41" s="58">
        <f>$F$199</f>
        <v>-0.2</v>
      </c>
      <c r="G41" s="82" t="str">
        <f>G23</f>
        <v>Qd</v>
      </c>
      <c r="H41" s="1" t="s">
        <v>10</v>
      </c>
      <c r="I41" s="29"/>
      <c r="J41"/>
    </row>
    <row r="42" spans="2:10" ht="13.5" customHeight="1" thickBot="1">
      <c r="B42" s="1"/>
      <c r="C42" s="2"/>
      <c r="D42" s="21" t="str">
        <f>$D$200</f>
        <v>Ps=</v>
      </c>
      <c r="E42" s="58">
        <f>$E$200</f>
        <v>0.6</v>
      </c>
      <c r="F42" s="91">
        <f>$F$200</f>
        <v>0.2</v>
      </c>
      <c r="G42" s="82" t="str">
        <f>G24</f>
        <v>Qs</v>
      </c>
      <c r="H42" s="1" t="s">
        <v>11</v>
      </c>
      <c r="I42" s="29"/>
      <c r="J42"/>
    </row>
    <row r="43" spans="2:10" ht="13.5" customHeight="1" thickBot="1">
      <c r="B43" s="1"/>
      <c r="C43" s="2"/>
      <c r="D43" s="21" t="s">
        <v>9</v>
      </c>
      <c r="E43" s="22">
        <f>$T$8</f>
        <v>0.24</v>
      </c>
      <c r="F43" s="92">
        <f>$T$9</f>
        <v>0.45</v>
      </c>
      <c r="G43" s="24" t="s">
        <v>148</v>
      </c>
      <c r="H43" s="1" t="s">
        <v>119</v>
      </c>
      <c r="I43" s="29"/>
      <c r="J43"/>
    </row>
    <row r="44" spans="2:10" ht="13.5" customHeight="1">
      <c r="B44" s="1"/>
      <c r="C44" s="2"/>
      <c r="D44" s="1" t="s">
        <v>12</v>
      </c>
      <c r="E44" s="9"/>
      <c r="I44" s="29"/>
      <c r="J44"/>
    </row>
    <row r="45" spans="2:10" ht="13.5" customHeight="1" thickBot="1">
      <c r="B45" s="1"/>
      <c r="C45" s="2"/>
      <c r="D45" s="1" t="s">
        <v>136</v>
      </c>
      <c r="E45" s="9"/>
      <c r="I45" s="29"/>
      <c r="J45"/>
    </row>
    <row r="46" spans="2:10" ht="13.5" customHeight="1" thickBot="1">
      <c r="B46" s="1"/>
      <c r="C46" s="2"/>
      <c r="D46" s="21" t="s">
        <v>137</v>
      </c>
      <c r="E46" s="102"/>
      <c r="F46" s="83"/>
      <c r="G46" s="76"/>
      <c r="H46" s="77"/>
      <c r="I46" s="29"/>
      <c r="J46"/>
    </row>
    <row r="47" spans="2:10" ht="13.5" customHeight="1" thickBot="1">
      <c r="B47" s="1"/>
      <c r="C47" s="2"/>
      <c r="D47" s="1" t="s">
        <v>138</v>
      </c>
      <c r="E47" s="9"/>
      <c r="I47" s="29"/>
      <c r="J47"/>
    </row>
    <row r="48" spans="2:10" ht="13.5" customHeight="1" thickBot="1">
      <c r="B48" s="1"/>
      <c r="C48" s="2"/>
      <c r="D48" s="85">
        <f>$T$10</f>
        <v>0.5</v>
      </c>
      <c r="E48" s="1" t="s">
        <v>197</v>
      </c>
      <c r="G48" s="57"/>
      <c r="H48" s="1" t="s">
        <v>40</v>
      </c>
      <c r="I48" s="29"/>
      <c r="J48"/>
    </row>
    <row r="49" spans="2:10" ht="13.5" customHeight="1" thickBot="1">
      <c r="B49" s="1"/>
      <c r="C49" s="2"/>
      <c r="D49" s="57"/>
      <c r="E49" s="1" t="s">
        <v>195</v>
      </c>
      <c r="F49" s="1" t="s">
        <v>196</v>
      </c>
      <c r="H49" s="29"/>
      <c r="I49" s="29"/>
      <c r="J49"/>
    </row>
    <row r="50" spans="2:10" ht="13.5" customHeight="1">
      <c r="B50" s="1"/>
      <c r="C50" s="2"/>
      <c r="D50" s="104" t="s">
        <v>83</v>
      </c>
      <c r="E50" s="9"/>
      <c r="H50" s="29"/>
      <c r="I50" s="29"/>
      <c r="J50"/>
    </row>
    <row r="51" spans="2:10" ht="13.5" customHeight="1">
      <c r="B51" s="1"/>
      <c r="C51" s="2"/>
      <c r="D51" s="104" t="s">
        <v>84</v>
      </c>
      <c r="E51" s="9"/>
      <c r="H51" s="29"/>
      <c r="I51" s="29"/>
      <c r="J51"/>
    </row>
    <row r="52" spans="2:10" ht="13.5" customHeight="1" thickBot="1">
      <c r="B52" s="1"/>
      <c r="C52" s="2"/>
      <c r="D52" s="104" t="s">
        <v>85</v>
      </c>
      <c r="E52" s="9"/>
      <c r="H52" s="29"/>
      <c r="I52" s="29"/>
      <c r="J52"/>
    </row>
    <row r="53" spans="2:10" ht="13.5" customHeight="1" thickBot="1">
      <c r="B53" s="1"/>
      <c r="C53" s="2"/>
      <c r="D53" s="21" t="s">
        <v>145</v>
      </c>
      <c r="E53" s="22"/>
      <c r="F53" s="87"/>
      <c r="G53" s="88"/>
      <c r="H53" s="89"/>
      <c r="I53" s="90"/>
      <c r="J53" s="1" t="s">
        <v>140</v>
      </c>
    </row>
    <row r="54" spans="2:10" ht="13.5" customHeight="1">
      <c r="B54" s="1"/>
      <c r="C54" s="2"/>
      <c r="D54" s="81" t="s">
        <v>141</v>
      </c>
      <c r="E54" s="9"/>
      <c r="H54" s="29"/>
      <c r="I54" s="29"/>
      <c r="J54"/>
    </row>
    <row r="55" spans="2:10" ht="13.5" customHeight="1" thickBot="1">
      <c r="B55" s="1"/>
      <c r="C55" s="2"/>
      <c r="D55" s="1" t="s">
        <v>41</v>
      </c>
      <c r="E55" s="9"/>
      <c r="H55" s="29"/>
      <c r="I55" s="29"/>
      <c r="J55"/>
    </row>
    <row r="56" spans="2:10" ht="13.5" customHeight="1" thickBot="1">
      <c r="B56" s="1"/>
      <c r="C56" s="2"/>
      <c r="D56" s="21" t="s">
        <v>147</v>
      </c>
      <c r="E56" s="94"/>
      <c r="F56" s="22"/>
      <c r="G56" s="23"/>
      <c r="H56" s="95"/>
      <c r="I56" s="96"/>
      <c r="J56" s="1" t="s">
        <v>191</v>
      </c>
    </row>
    <row r="57" spans="2:10" ht="13.5" customHeight="1" thickBot="1">
      <c r="B57" s="1"/>
      <c r="C57" s="2"/>
      <c r="D57" s="72" t="s">
        <v>189</v>
      </c>
      <c r="E57" s="93"/>
      <c r="F57" s="99"/>
      <c r="G57" s="20" t="s">
        <v>190</v>
      </c>
      <c r="H57" s="29"/>
      <c r="I57" s="29"/>
      <c r="J57"/>
    </row>
    <row r="58" spans="2:8" ht="13.5" customHeight="1" thickBot="1">
      <c r="B58" s="1"/>
      <c r="C58" s="2"/>
      <c r="D58" s="37" t="s">
        <v>86</v>
      </c>
      <c r="E58" s="97"/>
      <c r="F58" s="98"/>
      <c r="G58" s="37"/>
      <c r="H58" s="29"/>
    </row>
    <row r="59" spans="2:8" ht="13.5" customHeight="1" thickBot="1">
      <c r="B59" s="1"/>
      <c r="C59" s="2"/>
      <c r="D59" s="21" t="str">
        <f>D41</f>
        <v>Pd=</v>
      </c>
      <c r="E59" s="58">
        <f>$E$199</f>
        <v>10</v>
      </c>
      <c r="F59" s="58">
        <f>$F$199</f>
        <v>-0.2</v>
      </c>
      <c r="G59" s="82" t="str">
        <f>G42</f>
        <v>Qs</v>
      </c>
      <c r="H59" s="1" t="s">
        <v>87</v>
      </c>
    </row>
    <row r="60" spans="2:15" ht="13.5" customHeight="1" thickBot="1">
      <c r="B60" s="1"/>
      <c r="C60"/>
      <c r="D60" s="21" t="str">
        <f>$D$200</f>
        <v>Ps=</v>
      </c>
      <c r="E60" s="58">
        <f>$E$200+$F$234</f>
        <v>5.406666666666666</v>
      </c>
      <c r="F60" s="91">
        <f>$F$200</f>
        <v>0.2</v>
      </c>
      <c r="G60" s="82" t="str">
        <f>G43</f>
        <v>Qs</v>
      </c>
      <c r="H60" s="105"/>
      <c r="I60" s="1" t="s">
        <v>88</v>
      </c>
      <c r="K60"/>
      <c r="L60"/>
      <c r="M60"/>
      <c r="N60"/>
      <c r="O60"/>
    </row>
    <row r="61" spans="2:15" ht="13.5" customHeight="1" thickBot="1">
      <c r="B61" s="1"/>
      <c r="C61"/>
      <c r="D61" s="21" t="s">
        <v>9</v>
      </c>
      <c r="E61" s="22">
        <v>0.25</v>
      </c>
      <c r="F61" s="92">
        <v>0.4</v>
      </c>
      <c r="G61" s="24" t="s">
        <v>148</v>
      </c>
      <c r="H61" s="105"/>
      <c r="I61" s="1" t="s">
        <v>89</v>
      </c>
      <c r="K61"/>
      <c r="L61"/>
      <c r="M61"/>
      <c r="N61"/>
      <c r="O61"/>
    </row>
    <row r="62" spans="2:15" ht="13.5" customHeight="1" thickBot="1">
      <c r="B62" s="1"/>
      <c r="C62"/>
      <c r="D62"/>
      <c r="E62"/>
      <c r="F62"/>
      <c r="G62"/>
      <c r="H62" s="84"/>
      <c r="I62" s="1" t="s">
        <v>194</v>
      </c>
      <c r="M62"/>
      <c r="N62"/>
      <c r="O62"/>
    </row>
    <row r="63" spans="2:15" ht="13.5" customHeight="1" thickBot="1">
      <c r="B63" s="1"/>
      <c r="C63"/>
      <c r="D63"/>
      <c r="E63"/>
      <c r="F63"/>
      <c r="G63"/>
      <c r="H63" s="152"/>
      <c r="M63"/>
      <c r="N63"/>
      <c r="O63"/>
    </row>
    <row r="64" spans="3:6" ht="13.5" customHeight="1" thickBot="1">
      <c r="C64" s="2"/>
      <c r="D64" s="21" t="s">
        <v>149</v>
      </c>
      <c r="E64" s="102"/>
      <c r="F64" s="98" t="s">
        <v>192</v>
      </c>
    </row>
    <row r="65" spans="3:6" ht="13.5" customHeight="1" thickBot="1">
      <c r="C65" s="2"/>
      <c r="D65" s="21" t="s">
        <v>150</v>
      </c>
      <c r="E65" s="103"/>
      <c r="F65" s="98" t="s">
        <v>193</v>
      </c>
    </row>
    <row r="66" spans="1:6" ht="13.5" customHeight="1" thickBot="1">
      <c r="A66"/>
      <c r="C66" s="2"/>
      <c r="D66" s="21" t="s">
        <v>152</v>
      </c>
      <c r="E66" s="103"/>
      <c r="F66" s="98"/>
    </row>
    <row r="67" spans="1:5" ht="13.5" customHeight="1">
      <c r="A67"/>
      <c r="B67" s="1"/>
      <c r="C67" s="2"/>
      <c r="D67" s="1" t="s">
        <v>90</v>
      </c>
      <c r="E67" s="9"/>
    </row>
    <row r="68" spans="1:9" ht="13.5" customHeight="1" thickBot="1">
      <c r="A68"/>
      <c r="B68" s="1"/>
      <c r="C68" s="2"/>
      <c r="D68" s="1" t="s">
        <v>91</v>
      </c>
      <c r="E68" s="9"/>
      <c r="H68" s="29"/>
      <c r="I68" s="81"/>
    </row>
    <row r="69" spans="2:11" ht="13.5" customHeight="1" thickBot="1">
      <c r="B69" s="1"/>
      <c r="C69" s="2"/>
      <c r="D69" s="1" t="s">
        <v>92</v>
      </c>
      <c r="G69" s="37"/>
      <c r="H69" s="29"/>
      <c r="I69" s="81"/>
      <c r="J69" s="81"/>
      <c r="K69" s="57"/>
    </row>
    <row r="70" spans="2:12" ht="13.5" customHeight="1" thickBot="1">
      <c r="B70" s="1"/>
      <c r="C70" s="2" t="s">
        <v>98</v>
      </c>
      <c r="D70" s="118"/>
      <c r="E70" s="119"/>
      <c r="F70" s="114"/>
      <c r="G70" s="115" t="s">
        <v>99</v>
      </c>
      <c r="H70" s="120"/>
      <c r="I70" s="120"/>
      <c r="J70" s="114"/>
      <c r="K70" s="114"/>
      <c r="L70" s="117"/>
    </row>
    <row r="71" spans="2:12" ht="13.5" customHeight="1">
      <c r="B71" s="1"/>
      <c r="C71" s="2"/>
      <c r="D71" s="37" t="s">
        <v>100</v>
      </c>
      <c r="E71" s="97"/>
      <c r="F71" s="37"/>
      <c r="G71" s="106"/>
      <c r="H71" s="107"/>
      <c r="I71" s="107"/>
      <c r="J71" s="37"/>
      <c r="K71" s="37"/>
      <c r="L71" s="37"/>
    </row>
    <row r="72" spans="2:12" ht="13.5" customHeight="1">
      <c r="B72" s="1"/>
      <c r="C72" s="2"/>
      <c r="D72" s="37" t="s">
        <v>120</v>
      </c>
      <c r="E72" s="97"/>
      <c r="F72" s="37"/>
      <c r="G72" s="106"/>
      <c r="H72" s="107"/>
      <c r="I72" s="107"/>
      <c r="J72" s="37"/>
      <c r="K72" s="37"/>
      <c r="L72" s="37"/>
    </row>
    <row r="73" spans="2:12" ht="13.5" customHeight="1">
      <c r="B73" s="1"/>
      <c r="C73" s="2"/>
      <c r="D73" s="37" t="s">
        <v>121</v>
      </c>
      <c r="E73" s="97"/>
      <c r="F73" s="37"/>
      <c r="G73" s="106"/>
      <c r="H73" s="107"/>
      <c r="I73" s="107"/>
      <c r="J73" s="37"/>
      <c r="K73" s="37"/>
      <c r="L73" s="37"/>
    </row>
    <row r="74" spans="2:12" ht="13.5" customHeight="1">
      <c r="B74" s="1"/>
      <c r="C74" s="2"/>
      <c r="D74" s="37" t="s">
        <v>122</v>
      </c>
      <c r="E74" s="97"/>
      <c r="F74" s="37"/>
      <c r="G74" s="106"/>
      <c r="H74" s="107"/>
      <c r="I74" s="107"/>
      <c r="J74" s="37"/>
      <c r="K74" s="37"/>
      <c r="L74" s="37"/>
    </row>
    <row r="75" spans="2:12" ht="13.5" customHeight="1">
      <c r="B75" s="1"/>
      <c r="C75" s="2"/>
      <c r="D75" s="37" t="s">
        <v>80</v>
      </c>
      <c r="E75" s="97"/>
      <c r="F75" s="37"/>
      <c r="G75" s="106"/>
      <c r="H75" s="107"/>
      <c r="I75" s="107"/>
      <c r="J75" s="37"/>
      <c r="K75" s="37"/>
      <c r="L75" s="37"/>
    </row>
    <row r="76" spans="2:12" ht="13.5" customHeight="1">
      <c r="B76" s="1"/>
      <c r="C76" s="2"/>
      <c r="D76" s="37" t="s">
        <v>81</v>
      </c>
      <c r="E76" s="97"/>
      <c r="F76" s="37"/>
      <c r="G76" s="106"/>
      <c r="H76" s="107"/>
      <c r="I76" s="107"/>
      <c r="J76" s="37"/>
      <c r="K76" s="37"/>
      <c r="L76" s="37"/>
    </row>
    <row r="77" spans="2:12" ht="13.5" customHeight="1" thickBot="1">
      <c r="B77" s="1"/>
      <c r="C77" s="2"/>
      <c r="D77" s="37" t="s">
        <v>82</v>
      </c>
      <c r="E77" s="97"/>
      <c r="F77" s="37"/>
      <c r="G77" s="106"/>
      <c r="H77" s="107"/>
      <c r="I77" s="107"/>
      <c r="J77" s="37"/>
      <c r="K77" s="37"/>
      <c r="L77" s="37"/>
    </row>
    <row r="78" spans="2:9" ht="13.5" customHeight="1" thickBot="1">
      <c r="B78" s="1"/>
      <c r="C78" s="2"/>
      <c r="D78" s="21" t="str">
        <f>$D$199</f>
        <v>Pd=</v>
      </c>
      <c r="E78" s="22">
        <f>$T$4</f>
        <v>10</v>
      </c>
      <c r="F78" s="22">
        <f>$T$5</f>
        <v>-0.2</v>
      </c>
      <c r="G78" s="24" t="str">
        <f>$G$199</f>
        <v>Qd</v>
      </c>
      <c r="H78" s="1" t="s">
        <v>101</v>
      </c>
      <c r="I78" s="44"/>
    </row>
    <row r="79" spans="2:9" ht="13.5" customHeight="1" thickBot="1">
      <c r="B79" s="1"/>
      <c r="C79" s="2"/>
      <c r="D79" s="21" t="str">
        <f>$D$200</f>
        <v>Ps=</v>
      </c>
      <c r="E79" s="22">
        <f>$T$6</f>
        <v>0.6</v>
      </c>
      <c r="F79" s="92">
        <f>$T$7</f>
        <v>0.2</v>
      </c>
      <c r="G79" s="24" t="str">
        <f>$G$200</f>
        <v>Qs</v>
      </c>
      <c r="H79" s="1" t="s">
        <v>102</v>
      </c>
      <c r="I79" s="44"/>
    </row>
    <row r="80" spans="2:9" ht="13.5" customHeight="1" thickBot="1">
      <c r="B80" s="1"/>
      <c r="C80" s="2"/>
      <c r="D80" s="43" t="s">
        <v>104</v>
      </c>
      <c r="E80" s="49"/>
      <c r="F80" s="109"/>
      <c r="G80" s="18"/>
      <c r="I80" s="44"/>
    </row>
    <row r="81" spans="2:9" ht="13.5" customHeight="1" thickBot="1">
      <c r="B81" s="1"/>
      <c r="C81" s="2"/>
      <c r="D81" s="21" t="s">
        <v>149</v>
      </c>
      <c r="E81" s="22"/>
      <c r="F81" s="109"/>
      <c r="G81" s="37" t="s">
        <v>105</v>
      </c>
      <c r="I81" s="44"/>
    </row>
    <row r="82" spans="2:9" ht="13.5" customHeight="1" thickBot="1">
      <c r="B82" s="1"/>
      <c r="C82" s="2"/>
      <c r="D82" s="21" t="s">
        <v>150</v>
      </c>
      <c r="E82" s="30"/>
      <c r="F82" s="109"/>
      <c r="G82" s="110"/>
      <c r="I82" s="44"/>
    </row>
    <row r="83" spans="2:9" ht="13.5" customHeight="1" thickBot="1">
      <c r="B83" s="1"/>
      <c r="C83" s="2"/>
      <c r="D83" s="13" t="s">
        <v>152</v>
      </c>
      <c r="E83" s="28"/>
      <c r="F83" s="109"/>
      <c r="G83" s="37"/>
      <c r="I83" s="44"/>
    </row>
    <row r="84" spans="2:10" ht="13.5" customHeight="1" thickBot="1">
      <c r="B84" s="1"/>
      <c r="C84" s="2"/>
      <c r="D84" s="1" t="s">
        <v>103</v>
      </c>
      <c r="G84" s="16">
        <f>$T$11</f>
        <v>2</v>
      </c>
      <c r="H84" s="1" t="s">
        <v>164</v>
      </c>
      <c r="I84" s="17"/>
      <c r="J84"/>
    </row>
    <row r="85" spans="2:10" ht="13.5" customHeight="1" thickBot="1">
      <c r="B85" s="1"/>
      <c r="C85" s="2"/>
      <c r="D85" s="1" t="s">
        <v>165</v>
      </c>
      <c r="E85" s="29"/>
      <c r="F85" s="29"/>
      <c r="G85" s="29"/>
      <c r="I85" s="17"/>
      <c r="J85" s="17"/>
    </row>
    <row r="86" spans="2:11" ht="13.5" customHeight="1">
      <c r="B86" s="1"/>
      <c r="C86" s="2"/>
      <c r="D86" s="10" t="s">
        <v>145</v>
      </c>
      <c r="E86" s="11">
        <f>$T$4</f>
        <v>10</v>
      </c>
      <c r="F86" s="11">
        <f>$T$5</f>
        <v>-0.2</v>
      </c>
      <c r="G86" s="12" t="str">
        <f>G23</f>
        <v>Qd</v>
      </c>
      <c r="K86" s="17"/>
    </row>
    <row r="87" spans="2:11" ht="13.5" customHeight="1" thickBot="1">
      <c r="B87" s="1"/>
      <c r="C87" s="2"/>
      <c r="D87" s="13" t="s">
        <v>147</v>
      </c>
      <c r="E87" s="14">
        <f>$T$6+$G$265</f>
        <v>2.6</v>
      </c>
      <c r="F87" s="39">
        <f>$T$7</f>
        <v>0.2</v>
      </c>
      <c r="G87" s="15" t="str">
        <f>G24</f>
        <v>Qs</v>
      </c>
      <c r="K87" s="17"/>
    </row>
    <row r="88" spans="2:9" ht="13.5" customHeight="1" thickBot="1">
      <c r="B88" s="1"/>
      <c r="C88" s="2"/>
      <c r="D88" s="1" t="s">
        <v>167</v>
      </c>
      <c r="E88" s="29"/>
      <c r="F88" s="29"/>
      <c r="G88" s="29"/>
      <c r="I88" s="17"/>
    </row>
    <row r="89" spans="2:9" ht="13.5" customHeight="1" thickBot="1">
      <c r="B89" s="1"/>
      <c r="C89" s="2"/>
      <c r="D89" s="21" t="s">
        <v>149</v>
      </c>
      <c r="E89" s="22"/>
      <c r="F89" s="40"/>
      <c r="G89" s="37" t="s">
        <v>107</v>
      </c>
      <c r="I89" s="17"/>
    </row>
    <row r="90" spans="2:12" ht="13.5" customHeight="1" thickBot="1">
      <c r="B90" s="1"/>
      <c r="C90" s="2"/>
      <c r="D90" s="10" t="s">
        <v>150</v>
      </c>
      <c r="E90" s="25"/>
      <c r="G90" s="108"/>
      <c r="H90" s="1" t="s">
        <v>106</v>
      </c>
      <c r="J90" s="51"/>
      <c r="K90" s="32"/>
      <c r="L90" s="153"/>
    </row>
    <row r="91" spans="2:10" ht="13.5" customHeight="1" thickBot="1">
      <c r="B91" s="1"/>
      <c r="C91" s="2"/>
      <c r="D91" s="13" t="s">
        <v>152</v>
      </c>
      <c r="E91" s="28"/>
      <c r="G91" s="1" t="s">
        <v>39</v>
      </c>
      <c r="I91" s="154"/>
      <c r="J91" s="1" t="s">
        <v>95</v>
      </c>
    </row>
    <row r="92" spans="2:8" ht="13.5" customHeight="1" thickBot="1">
      <c r="B92" s="1"/>
      <c r="C92" s="2"/>
      <c r="D92" s="52" t="s">
        <v>168</v>
      </c>
      <c r="E92" s="34"/>
      <c r="F92" s="30"/>
      <c r="G92" s="111"/>
      <c r="H92" s="79"/>
    </row>
    <row r="93" spans="2:8" ht="13.5" customHeight="1">
      <c r="B93" s="1"/>
      <c r="C93" s="2"/>
      <c r="D93" s="54" t="s">
        <v>169</v>
      </c>
      <c r="E93" s="53"/>
      <c r="F93" s="18"/>
      <c r="G93" s="47"/>
      <c r="H93" s="42"/>
    </row>
    <row r="94" spans="2:8" ht="13.5" customHeight="1">
      <c r="B94" s="1"/>
      <c r="C94" s="2"/>
      <c r="D94" s="37" t="s">
        <v>170</v>
      </c>
      <c r="E94" s="55"/>
      <c r="F94" s="47"/>
      <c r="G94" s="47"/>
      <c r="H94" s="42"/>
    </row>
    <row r="95" spans="2:10" ht="13.5" customHeight="1" thickBot="1">
      <c r="B95" s="1"/>
      <c r="C95" s="2"/>
      <c r="D95" s="37" t="s">
        <v>171</v>
      </c>
      <c r="E95" s="55"/>
      <c r="F95" s="47"/>
      <c r="G95" s="47"/>
      <c r="H95" s="42"/>
      <c r="J95" s="50"/>
    </row>
    <row r="96" spans="2:11" ht="13.5" customHeight="1" thickBot="1">
      <c r="B96" s="1"/>
      <c r="C96" s="2"/>
      <c r="D96" s="21" t="str">
        <f aca="true" t="shared" si="0" ref="D96:G97">D86</f>
        <v>Pd=</v>
      </c>
      <c r="E96" s="58">
        <f t="shared" si="0"/>
        <v>10</v>
      </c>
      <c r="F96" s="58">
        <f t="shared" si="0"/>
        <v>-0.2</v>
      </c>
      <c r="G96" s="59" t="str">
        <f t="shared" si="0"/>
        <v>Qd</v>
      </c>
      <c r="H96" s="42"/>
      <c r="I96" s="56"/>
      <c r="J96" s="60"/>
      <c r="K96" s="1" t="s">
        <v>42</v>
      </c>
    </row>
    <row r="97" spans="2:11" ht="13.5" customHeight="1" thickBot="1">
      <c r="B97" s="1"/>
      <c r="C97" s="2"/>
      <c r="D97" s="21" t="str">
        <f t="shared" si="0"/>
        <v>Ps=</v>
      </c>
      <c r="E97" s="58">
        <f t="shared" si="0"/>
        <v>2.6</v>
      </c>
      <c r="F97" s="58">
        <f t="shared" si="0"/>
        <v>0.2</v>
      </c>
      <c r="G97" s="59" t="str">
        <f t="shared" si="0"/>
        <v>Qs</v>
      </c>
      <c r="H97" s="42"/>
      <c r="I97" s="35"/>
      <c r="J97" s="61"/>
      <c r="K97" s="1" t="s">
        <v>43</v>
      </c>
    </row>
    <row r="98" spans="2:11" ht="13.5" customHeight="1" thickBot="1">
      <c r="B98" s="1"/>
      <c r="C98" s="2"/>
      <c r="D98" s="37"/>
      <c r="E98" s="55"/>
      <c r="F98" s="47"/>
      <c r="G98" s="47"/>
      <c r="H98" s="42"/>
      <c r="I98" s="57"/>
      <c r="J98" s="62"/>
      <c r="K98" s="1" t="s">
        <v>44</v>
      </c>
    </row>
    <row r="99" spans="2:8" ht="13.5" customHeight="1">
      <c r="B99" s="1"/>
      <c r="C99" s="2"/>
      <c r="D99" s="37" t="s">
        <v>172</v>
      </c>
      <c r="E99" s="55"/>
      <c r="F99" s="47"/>
      <c r="G99" s="47"/>
      <c r="H99" s="42"/>
    </row>
    <row r="100" spans="2:8" ht="13.5" customHeight="1">
      <c r="B100" s="1"/>
      <c r="C100" s="2"/>
      <c r="D100" s="37" t="s">
        <v>199</v>
      </c>
      <c r="E100" s="55"/>
      <c r="F100" s="47"/>
      <c r="G100" s="47"/>
      <c r="H100" s="42"/>
    </row>
    <row r="101" spans="2:8" ht="13.5" customHeight="1" thickBot="1">
      <c r="B101" s="1"/>
      <c r="C101" s="2"/>
      <c r="D101" s="37" t="s">
        <v>200</v>
      </c>
      <c r="E101" s="55"/>
      <c r="F101" s="47"/>
      <c r="G101" s="47"/>
      <c r="H101" s="42"/>
    </row>
    <row r="102" spans="2:10" ht="13.5" customHeight="1" thickBot="1">
      <c r="B102" s="1"/>
      <c r="C102" s="2"/>
      <c r="D102" s="52"/>
      <c r="E102" s="34"/>
      <c r="F102" s="23"/>
      <c r="G102" s="59" t="s">
        <v>201</v>
      </c>
      <c r="H102" s="64"/>
      <c r="I102" s="65"/>
      <c r="J102" s="69"/>
    </row>
    <row r="103" spans="2:10" ht="13.5" customHeight="1" thickBot="1">
      <c r="B103" s="1"/>
      <c r="C103" s="2"/>
      <c r="D103" s="52"/>
      <c r="E103" s="34"/>
      <c r="F103" s="23"/>
      <c r="G103" s="59" t="s">
        <v>202</v>
      </c>
      <c r="H103" s="63"/>
      <c r="I103" s="65"/>
      <c r="J103" s="69"/>
    </row>
    <row r="104" spans="2:8" ht="13.5" customHeight="1" thickBot="1">
      <c r="B104" s="1"/>
      <c r="C104" s="2"/>
      <c r="D104" s="72"/>
      <c r="E104" s="36"/>
      <c r="F104" s="19"/>
      <c r="G104" s="73" t="s">
        <v>203</v>
      </c>
      <c r="H104" s="64"/>
    </row>
    <row r="105" spans="2:8" ht="13.5" customHeight="1">
      <c r="B105" s="1"/>
      <c r="C105" s="2"/>
      <c r="D105" s="37" t="s">
        <v>204</v>
      </c>
      <c r="E105" s="55"/>
      <c r="F105" s="47"/>
      <c r="G105" s="47"/>
      <c r="H105" s="42"/>
    </row>
    <row r="106" spans="2:8" ht="13.5" customHeight="1">
      <c r="B106" s="1"/>
      <c r="C106" s="2"/>
      <c r="D106" s="37" t="s">
        <v>205</v>
      </c>
      <c r="E106" s="55"/>
      <c r="F106" s="47"/>
      <c r="G106" s="47"/>
      <c r="H106" s="42"/>
    </row>
    <row r="107" spans="2:8" ht="13.5" customHeight="1">
      <c r="B107" s="1"/>
      <c r="C107" s="2"/>
      <c r="D107" s="37" t="s">
        <v>59</v>
      </c>
      <c r="E107" s="55"/>
      <c r="F107" s="47"/>
      <c r="G107" s="47"/>
      <c r="H107" s="42"/>
    </row>
    <row r="108" spans="2:8" ht="13.5" customHeight="1" thickBot="1">
      <c r="B108" s="1"/>
      <c r="C108" s="2"/>
      <c r="D108" s="37" t="s">
        <v>60</v>
      </c>
      <c r="E108" s="55"/>
      <c r="F108" s="47"/>
      <c r="G108" s="47"/>
      <c r="H108" s="42"/>
    </row>
    <row r="109" spans="2:12" ht="13.5" customHeight="1" thickBot="1">
      <c r="B109" s="1"/>
      <c r="C109" s="2"/>
      <c r="D109" s="26"/>
      <c r="E109" s="34"/>
      <c r="F109" s="23"/>
      <c r="G109" s="33" t="s">
        <v>154</v>
      </c>
      <c r="H109" s="30"/>
      <c r="I109" s="65"/>
      <c r="J109" s="66"/>
      <c r="K109" s="67"/>
      <c r="L109" s="68"/>
    </row>
    <row r="110" spans="2:8" ht="13.5" customHeight="1" thickBot="1">
      <c r="B110" s="1"/>
      <c r="C110" s="2"/>
      <c r="D110" s="52"/>
      <c r="E110" s="34"/>
      <c r="F110" s="23"/>
      <c r="G110" s="33" t="s">
        <v>61</v>
      </c>
      <c r="H110" s="30"/>
    </row>
    <row r="111" spans="2:15" ht="13.5" customHeight="1" thickBot="1">
      <c r="B111" s="1"/>
      <c r="C111" s="2"/>
      <c r="D111" s="52"/>
      <c r="E111" s="31"/>
      <c r="F111" s="32"/>
      <c r="G111" s="33" t="s">
        <v>62</v>
      </c>
      <c r="H111" s="38"/>
      <c r="I111" s="70"/>
      <c r="J111" s="71"/>
      <c r="M111"/>
      <c r="N111"/>
      <c r="O111"/>
    </row>
    <row r="112" spans="2:15" ht="13.5" customHeight="1">
      <c r="B112" s="1"/>
      <c r="C112" s="2"/>
      <c r="D112" s="1" t="s">
        <v>63</v>
      </c>
      <c r="M112"/>
      <c r="N112"/>
      <c r="O112"/>
    </row>
    <row r="113" spans="2:15" ht="13.5" customHeight="1">
      <c r="B113" s="1"/>
      <c r="C113" s="2"/>
      <c r="D113" s="1" t="s">
        <v>108</v>
      </c>
      <c r="M113"/>
      <c r="N113"/>
      <c r="O113"/>
    </row>
    <row r="114" spans="2:15" ht="13.5" customHeight="1" thickBot="1">
      <c r="B114" s="1"/>
      <c r="C114" s="2"/>
      <c r="I114" s="47"/>
      <c r="M114"/>
      <c r="N114"/>
      <c r="O114"/>
    </row>
    <row r="115" spans="2:15" ht="13.5" customHeight="1" thickBot="1">
      <c r="B115" s="1"/>
      <c r="C115" s="2" t="s">
        <v>45</v>
      </c>
      <c r="D115" s="112"/>
      <c r="E115" s="113"/>
      <c r="F115" s="114"/>
      <c r="G115" s="115" t="s">
        <v>46</v>
      </c>
      <c r="H115" s="114"/>
      <c r="I115" s="116"/>
      <c r="J115" s="116"/>
      <c r="K115" s="117"/>
      <c r="M115"/>
      <c r="N115"/>
      <c r="O115"/>
    </row>
    <row r="116" spans="2:15" ht="13.5" customHeight="1">
      <c r="B116" s="1"/>
      <c r="C116" s="2"/>
      <c r="D116" s="1" t="s">
        <v>109</v>
      </c>
      <c r="M116"/>
      <c r="N116"/>
      <c r="O116"/>
    </row>
    <row r="117" spans="2:15" ht="13.5" customHeight="1">
      <c r="B117" s="1"/>
      <c r="C117" s="2"/>
      <c r="D117" s="1" t="s">
        <v>48</v>
      </c>
      <c r="M117"/>
      <c r="N117"/>
      <c r="O117"/>
    </row>
    <row r="118" spans="2:15" ht="13.5" customHeight="1">
      <c r="B118" s="1"/>
      <c r="C118" s="2"/>
      <c r="D118" s="1" t="s">
        <v>49</v>
      </c>
      <c r="M118"/>
      <c r="N118"/>
      <c r="O118"/>
    </row>
    <row r="119" spans="2:15" ht="13.5" customHeight="1">
      <c r="B119" s="1"/>
      <c r="C119" s="2"/>
      <c r="D119" s="1" t="s">
        <v>179</v>
      </c>
      <c r="M119"/>
      <c r="N119"/>
      <c r="O119"/>
    </row>
    <row r="120" spans="2:15" ht="13.5" customHeight="1">
      <c r="B120" s="1"/>
      <c r="C120" s="2"/>
      <c r="D120" s="1" t="s">
        <v>180</v>
      </c>
      <c r="M120"/>
      <c r="N120"/>
      <c r="O120"/>
    </row>
    <row r="121" spans="2:4" ht="13.5" customHeight="1">
      <c r="B121" s="1"/>
      <c r="C121" s="2"/>
      <c r="D121" s="1" t="s">
        <v>175</v>
      </c>
    </row>
    <row r="122" spans="2:4" ht="13.5" customHeight="1">
      <c r="B122" s="1"/>
      <c r="C122" s="2"/>
      <c r="D122" s="1" t="s">
        <v>176</v>
      </c>
    </row>
    <row r="123" spans="2:4" ht="13.5" customHeight="1" thickBot="1">
      <c r="B123" s="1"/>
      <c r="C123" s="2"/>
      <c r="D123" s="1" t="s">
        <v>47</v>
      </c>
    </row>
    <row r="124" spans="2:7" ht="13.5" customHeight="1" thickBot="1">
      <c r="B124" s="1"/>
      <c r="C124" s="2"/>
      <c r="D124" s="21" t="s">
        <v>145</v>
      </c>
      <c r="E124" s="22">
        <f>$T$4</f>
        <v>10</v>
      </c>
      <c r="F124" s="22">
        <f>$T$5</f>
        <v>-0.2</v>
      </c>
      <c r="G124" s="24" t="s">
        <v>146</v>
      </c>
    </row>
    <row r="125" spans="2:7" ht="13.5" customHeight="1" thickBot="1">
      <c r="B125" s="1"/>
      <c r="C125" s="2"/>
      <c r="D125" s="13" t="s">
        <v>147</v>
      </c>
      <c r="E125" s="14">
        <f>$T$6</f>
        <v>0.6</v>
      </c>
      <c r="F125" s="39">
        <f>$T$7</f>
        <v>0.2</v>
      </c>
      <c r="G125" s="24" t="s">
        <v>148</v>
      </c>
    </row>
    <row r="126" spans="2:7" ht="13.5" customHeight="1">
      <c r="B126" s="1"/>
      <c r="C126" s="2"/>
      <c r="D126" s="41"/>
      <c r="E126" s="49"/>
      <c r="F126" s="109"/>
      <c r="G126" s="47"/>
    </row>
    <row r="127" spans="2:7" ht="13.5" customHeight="1">
      <c r="B127" s="1"/>
      <c r="C127" s="2"/>
      <c r="D127" s="41"/>
      <c r="E127" s="49"/>
      <c r="F127" s="109"/>
      <c r="G127" s="47"/>
    </row>
    <row r="128" spans="2:5" ht="13.5" customHeight="1" thickBot="1">
      <c r="B128" s="1"/>
      <c r="C128" s="2"/>
      <c r="D128" s="1" t="s">
        <v>155</v>
      </c>
      <c r="E128" s="9"/>
    </row>
    <row r="129" spans="2:7" ht="13.5" customHeight="1" thickBot="1">
      <c r="B129" s="1"/>
      <c r="C129" s="2"/>
      <c r="D129" s="21" t="s">
        <v>149</v>
      </c>
      <c r="E129" s="22"/>
      <c r="F129" s="40"/>
      <c r="G129" s="1" t="s">
        <v>22</v>
      </c>
    </row>
    <row r="130" spans="2:7" ht="13.5" customHeight="1" thickBot="1">
      <c r="B130" s="1"/>
      <c r="C130" s="2"/>
      <c r="D130" s="21" t="s">
        <v>150</v>
      </c>
      <c r="E130" s="30"/>
      <c r="G130" s="108"/>
    </row>
    <row r="131" spans="2:5" ht="13.5" customHeight="1" thickBot="1">
      <c r="B131" s="1"/>
      <c r="C131" s="2"/>
      <c r="D131" s="13" t="s">
        <v>152</v>
      </c>
      <c r="E131" s="28"/>
    </row>
    <row r="132" spans="2:4" ht="13.5" customHeight="1">
      <c r="B132" s="1"/>
      <c r="C132" s="2"/>
      <c r="D132" s="1" t="s">
        <v>182</v>
      </c>
    </row>
    <row r="133" spans="2:4" ht="13.5" customHeight="1" thickBot="1">
      <c r="B133" s="1"/>
      <c r="C133" s="2"/>
      <c r="D133" s="1" t="s">
        <v>183</v>
      </c>
    </row>
    <row r="134" spans="2:10" ht="13.5" customHeight="1" thickBot="1">
      <c r="B134" s="1"/>
      <c r="C134" s="2"/>
      <c r="D134" s="21"/>
      <c r="E134" s="33" t="s">
        <v>184</v>
      </c>
      <c r="F134" s="22"/>
      <c r="G134" s="23" t="s">
        <v>181</v>
      </c>
      <c r="H134" s="22"/>
      <c r="I134" s="24" t="s">
        <v>187</v>
      </c>
      <c r="J134" s="1" t="s">
        <v>174</v>
      </c>
    </row>
    <row r="135" spans="2:9" ht="13.5" customHeight="1" thickBot="1">
      <c r="B135" s="1"/>
      <c r="D135" s="52"/>
      <c r="E135" s="33"/>
      <c r="F135" s="33" t="s">
        <v>173</v>
      </c>
      <c r="G135" s="22"/>
      <c r="H135" s="22"/>
      <c r="I135" s="24" t="s">
        <v>181</v>
      </c>
    </row>
    <row r="136" spans="2:9" ht="13.5" customHeight="1">
      <c r="B136" s="1"/>
      <c r="D136" s="37" t="s">
        <v>177</v>
      </c>
      <c r="E136" s="41"/>
      <c r="F136" s="41"/>
      <c r="G136" s="49"/>
      <c r="H136" s="49"/>
      <c r="I136" s="47"/>
    </row>
    <row r="137" spans="2:9" ht="13.5" customHeight="1" thickBot="1">
      <c r="B137" s="1"/>
      <c r="D137" s="37" t="s">
        <v>25</v>
      </c>
      <c r="E137" s="41"/>
      <c r="F137" s="41"/>
      <c r="G137" s="49"/>
      <c r="H137" s="49"/>
      <c r="I137" s="47"/>
    </row>
    <row r="138" spans="2:9" ht="13.5" customHeight="1" thickBot="1">
      <c r="B138" s="1"/>
      <c r="D138" s="21"/>
      <c r="E138" s="33" t="s">
        <v>26</v>
      </c>
      <c r="F138" s="102"/>
      <c r="G138" s="146"/>
      <c r="H138" s="148"/>
      <c r="I138" s="147"/>
    </row>
    <row r="139" spans="2:9" ht="13.5" customHeight="1">
      <c r="B139" s="1"/>
      <c r="D139" s="43" t="s">
        <v>27</v>
      </c>
      <c r="E139" s="41"/>
      <c r="F139" s="49"/>
      <c r="G139" s="49"/>
      <c r="H139" s="49"/>
      <c r="I139" s="47"/>
    </row>
    <row r="140" spans="2:9" ht="13.5" customHeight="1" thickBot="1">
      <c r="B140" s="1"/>
      <c r="D140" s="43" t="s">
        <v>28</v>
      </c>
      <c r="E140" s="41"/>
      <c r="F140" s="49"/>
      <c r="G140" s="49"/>
      <c r="H140" s="49"/>
      <c r="I140" s="47"/>
    </row>
    <row r="141" spans="2:8" ht="13.5" customHeight="1" thickBot="1">
      <c r="B141" s="1"/>
      <c r="C141" s="52"/>
      <c r="D141" s="155"/>
      <c r="E141" s="33" t="s">
        <v>185</v>
      </c>
      <c r="F141" s="103"/>
      <c r="G141" s="1" t="s">
        <v>31</v>
      </c>
      <c r="H141"/>
    </row>
    <row r="142" spans="2:8" ht="13.5" customHeight="1" thickBot="1">
      <c r="B142" s="1"/>
      <c r="C142" s="52"/>
      <c r="D142" s="155"/>
      <c r="E142" s="33" t="s">
        <v>186</v>
      </c>
      <c r="F142" s="103"/>
      <c r="G142" s="1" t="s">
        <v>32</v>
      </c>
      <c r="H142"/>
    </row>
    <row r="143" spans="2:9" ht="13.5" customHeight="1" thickBot="1">
      <c r="B143" s="1"/>
      <c r="C143" s="52"/>
      <c r="D143" s="155"/>
      <c r="E143" s="133" t="s">
        <v>29</v>
      </c>
      <c r="F143" s="103"/>
      <c r="G143" s="1" t="s">
        <v>23</v>
      </c>
      <c r="H143" s="125"/>
      <c r="I143" s="1" t="s">
        <v>33</v>
      </c>
    </row>
    <row r="144" spans="2:9" ht="13.5" customHeight="1" thickBot="1">
      <c r="B144" s="1"/>
      <c r="C144" s="52"/>
      <c r="D144" s="155"/>
      <c r="E144" s="133" t="s">
        <v>30</v>
      </c>
      <c r="F144" s="103"/>
      <c r="H144" s="134"/>
      <c r="I144" s="1" t="s">
        <v>34</v>
      </c>
    </row>
    <row r="145" spans="2:9" ht="13.5" customHeight="1" thickBot="1">
      <c r="B145" s="1"/>
      <c r="C145" s="21"/>
      <c r="D145" s="32"/>
      <c r="E145" s="133" t="s">
        <v>134</v>
      </c>
      <c r="F145" s="156"/>
      <c r="G145" s="124"/>
      <c r="H145" s="125"/>
      <c r="I145" s="1" t="s">
        <v>35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 thickBot="1"/>
    <row r="192" spans="5:9" ht="15" thickBot="1">
      <c r="E192" s="121"/>
      <c r="F192" s="157"/>
      <c r="G192" s="115" t="s">
        <v>24</v>
      </c>
      <c r="H192" s="157"/>
      <c r="I192" s="158"/>
    </row>
    <row r="193" ht="15" thickBot="1">
      <c r="K193" s="2" t="s">
        <v>143</v>
      </c>
    </row>
    <row r="194" spans="2:11" ht="15" thickBot="1">
      <c r="B194" s="1"/>
      <c r="C194" s="2"/>
      <c r="D194" s="118"/>
      <c r="E194" s="114"/>
      <c r="F194" s="114"/>
      <c r="G194" s="115" t="s">
        <v>116</v>
      </c>
      <c r="H194" s="114"/>
      <c r="I194" s="114"/>
      <c r="J194" s="114"/>
      <c r="K194" s="117"/>
    </row>
    <row r="195" spans="2:10" ht="15" thickBot="1">
      <c r="B195" s="1"/>
      <c r="C195" s="2"/>
      <c r="D195" s="1" t="s">
        <v>7</v>
      </c>
      <c r="E195" s="9"/>
      <c r="I195" s="17"/>
      <c r="J195" s="17"/>
    </row>
    <row r="196" spans="2:10" ht="15" thickBot="1">
      <c r="B196" s="1"/>
      <c r="C196" s="2"/>
      <c r="D196" s="21" t="s">
        <v>145</v>
      </c>
      <c r="E196" s="46" t="s">
        <v>157</v>
      </c>
      <c r="F196" s="33" t="s">
        <v>158</v>
      </c>
      <c r="G196" s="24" t="s">
        <v>146</v>
      </c>
      <c r="I196" s="17"/>
      <c r="J196" s="17"/>
    </row>
    <row r="197" spans="2:10" ht="15" thickBot="1">
      <c r="B197" s="1"/>
      <c r="C197" s="2"/>
      <c r="D197" s="21" t="s">
        <v>147</v>
      </c>
      <c r="E197" s="46" t="s">
        <v>159</v>
      </c>
      <c r="F197" s="33" t="s">
        <v>160</v>
      </c>
      <c r="G197" s="24" t="s">
        <v>148</v>
      </c>
      <c r="I197" s="17"/>
      <c r="J197" s="17"/>
    </row>
    <row r="198" spans="2:10" ht="15" thickBot="1">
      <c r="B198" s="1"/>
      <c r="C198" s="2"/>
      <c r="D198" s="1" t="s">
        <v>8</v>
      </c>
      <c r="E198" s="45"/>
      <c r="F198" s="2"/>
      <c r="G198" s="8"/>
      <c r="I198" s="17"/>
      <c r="J198" s="17"/>
    </row>
    <row r="199" spans="2:9" ht="15" thickBot="1">
      <c r="B199" s="1"/>
      <c r="C199" s="2"/>
      <c r="D199" s="21" t="s">
        <v>145</v>
      </c>
      <c r="E199" s="22">
        <f>$T$4</f>
        <v>10</v>
      </c>
      <c r="F199" s="22">
        <f>$T$5</f>
        <v>-0.2</v>
      </c>
      <c r="G199" s="24" t="s">
        <v>146</v>
      </c>
      <c r="H199" s="80"/>
      <c r="I199"/>
    </row>
    <row r="200" spans="2:9" ht="15" thickBot="1">
      <c r="B200" s="1"/>
      <c r="C200" s="2"/>
      <c r="D200" s="13" t="s">
        <v>147</v>
      </c>
      <c r="E200" s="159">
        <f>$T$6</f>
        <v>0.6</v>
      </c>
      <c r="F200" s="39">
        <f>$T$7</f>
        <v>0.2</v>
      </c>
      <c r="G200" s="19" t="s">
        <v>148</v>
      </c>
      <c r="H200" s="80"/>
      <c r="I200"/>
    </row>
    <row r="201" spans="2:10" ht="15" thickBot="1">
      <c r="B201" s="1"/>
      <c r="C201" s="2"/>
      <c r="D201" s="1" t="s">
        <v>155</v>
      </c>
      <c r="E201" s="9"/>
      <c r="I201" s="17"/>
      <c r="J201" s="17"/>
    </row>
    <row r="202" spans="2:10" ht="15" thickBot="1">
      <c r="B202" s="1"/>
      <c r="C202" s="2"/>
      <c r="D202" s="21" t="s">
        <v>149</v>
      </c>
      <c r="E202" s="22">
        <f>(E199-E200)/(-F199+F200)</f>
        <v>23.5</v>
      </c>
      <c r="F202" s="40"/>
      <c r="G202" s="47"/>
      <c r="I202" s="17"/>
      <c r="J202" s="17"/>
    </row>
    <row r="203" spans="2:10" ht="15" thickBot="1">
      <c r="B203" s="1"/>
      <c r="C203" s="2"/>
      <c r="D203" s="21" t="s">
        <v>150</v>
      </c>
      <c r="E203" s="30">
        <f>E199+E202*F199</f>
        <v>5.3</v>
      </c>
      <c r="G203"/>
      <c r="J203" s="17"/>
    </row>
    <row r="204" spans="2:10" ht="15" thickBot="1">
      <c r="B204" s="1"/>
      <c r="C204" s="2"/>
      <c r="D204" s="13" t="s">
        <v>152</v>
      </c>
      <c r="E204" s="28">
        <f>E202*E203</f>
        <v>124.55</v>
      </c>
      <c r="I204" s="17"/>
      <c r="J204" s="17"/>
    </row>
    <row r="205" spans="2:10" ht="15" thickBot="1">
      <c r="B205" s="1"/>
      <c r="C205" s="2"/>
      <c r="D205" s="43" t="s">
        <v>163</v>
      </c>
      <c r="E205" s="42"/>
      <c r="I205" s="17"/>
      <c r="J205" s="17"/>
    </row>
    <row r="206" spans="2:10" ht="15" thickBot="1">
      <c r="B206" s="1"/>
      <c r="C206" s="2"/>
      <c r="D206" s="21" t="s">
        <v>151</v>
      </c>
      <c r="E206" s="27">
        <f>ABS(E203/(F199*E202))</f>
        <v>1.127659574468085</v>
      </c>
      <c r="F206" s="70">
        <f>$E$203</f>
        <v>5.3</v>
      </c>
      <c r="G206" s="76">
        <f>$E$202</f>
        <v>23.5</v>
      </c>
      <c r="H206" s="77">
        <f>ABS($F$199)</f>
        <v>0.2</v>
      </c>
      <c r="I206" s="17"/>
      <c r="J206" s="17"/>
    </row>
    <row r="207" spans="2:10" ht="15" thickBot="1">
      <c r="B207" s="1"/>
      <c r="C207" s="2"/>
      <c r="D207" s="43" t="s">
        <v>156</v>
      </c>
      <c r="E207" s="42"/>
      <c r="I207" s="17"/>
      <c r="J207" s="17"/>
    </row>
    <row r="208" spans="2:11" ht="15" thickBot="1">
      <c r="B208" s="1"/>
      <c r="C208" s="2"/>
      <c r="D208" s="21" t="s">
        <v>153</v>
      </c>
      <c r="E208" s="30">
        <f>(E199-E200)*(E202)*(0.5)</f>
        <v>110.45</v>
      </c>
      <c r="F208" s="65">
        <v>0.5</v>
      </c>
      <c r="G208" s="78">
        <f>$E$199</f>
        <v>10</v>
      </c>
      <c r="H208" s="67">
        <f>$E$200</f>
        <v>0.6</v>
      </c>
      <c r="I208" s="79">
        <f>$E$202</f>
        <v>23.5</v>
      </c>
      <c r="J208" s="17"/>
      <c r="K208" s="17"/>
    </row>
    <row r="209" spans="2:10" ht="15" thickBot="1">
      <c r="B209" s="1"/>
      <c r="C209" s="2"/>
      <c r="D209" s="43"/>
      <c r="E209" s="42"/>
      <c r="I209" s="17"/>
      <c r="J209" s="17"/>
    </row>
    <row r="210" spans="2:11" ht="15" thickBot="1">
      <c r="B210" s="1"/>
      <c r="C210" s="2"/>
      <c r="D210" s="112"/>
      <c r="E210" s="113"/>
      <c r="F210" s="114"/>
      <c r="G210" s="115" t="s">
        <v>166</v>
      </c>
      <c r="H210" s="114"/>
      <c r="I210" s="116"/>
      <c r="J210" s="116"/>
      <c r="K210" s="117"/>
    </row>
    <row r="211" spans="2:10" ht="13.5">
      <c r="B211" s="1"/>
      <c r="C211" s="2"/>
      <c r="D211" s="43" t="s">
        <v>161</v>
      </c>
      <c r="E211" s="42"/>
      <c r="I211" s="17"/>
      <c r="J211" s="17"/>
    </row>
    <row r="212" spans="2:10" ht="15" thickBot="1">
      <c r="B212" s="1"/>
      <c r="C212" s="2"/>
      <c r="D212" s="1" t="s">
        <v>162</v>
      </c>
      <c r="E212" s="9"/>
      <c r="H212" s="29"/>
      <c r="I212" s="29"/>
      <c r="J212"/>
    </row>
    <row r="213" spans="2:11" ht="15" thickBot="1">
      <c r="B213" s="1"/>
      <c r="C213" s="2" t="s">
        <v>97</v>
      </c>
      <c r="D213" s="121"/>
      <c r="E213" s="119"/>
      <c r="F213" s="114"/>
      <c r="G213" s="115" t="s">
        <v>96</v>
      </c>
      <c r="H213" s="120"/>
      <c r="I213" s="120"/>
      <c r="J213" s="122"/>
      <c r="K213" s="117"/>
    </row>
    <row r="214" spans="2:10" ht="13.5">
      <c r="B214" s="1"/>
      <c r="C214" s="2"/>
      <c r="D214" s="1" t="s">
        <v>117</v>
      </c>
      <c r="E214" s="9"/>
      <c r="H214" s="29"/>
      <c r="I214" s="29"/>
      <c r="J214"/>
    </row>
    <row r="215" spans="2:10" ht="13.5">
      <c r="B215" s="1"/>
      <c r="C215" s="2"/>
      <c r="D215" s="1" t="s">
        <v>118</v>
      </c>
      <c r="E215" s="9"/>
      <c r="H215" s="29"/>
      <c r="I215" s="29"/>
      <c r="J215"/>
    </row>
    <row r="216" spans="2:10" ht="15" thickBot="1">
      <c r="B216" s="1"/>
      <c r="C216" s="2"/>
      <c r="D216" s="1" t="s">
        <v>6</v>
      </c>
      <c r="E216" s="9"/>
      <c r="H216" s="29"/>
      <c r="I216" s="29"/>
      <c r="J216"/>
    </row>
    <row r="217" spans="2:10" ht="15" thickBot="1">
      <c r="B217" s="1"/>
      <c r="C217" s="2"/>
      <c r="D217" s="21" t="str">
        <f>D199</f>
        <v>Pd=</v>
      </c>
      <c r="E217" s="58">
        <f>$E$199</f>
        <v>10</v>
      </c>
      <c r="F217" s="58">
        <f>$F$199</f>
        <v>-0.2</v>
      </c>
      <c r="G217" s="82" t="str">
        <f>G199</f>
        <v>Qd</v>
      </c>
      <c r="H217" s="1" t="s">
        <v>10</v>
      </c>
      <c r="I217" s="29"/>
      <c r="J217"/>
    </row>
    <row r="218" spans="2:10" ht="15" thickBot="1">
      <c r="B218" s="1"/>
      <c r="C218" s="2"/>
      <c r="D218" s="21" t="str">
        <f>$D$200</f>
        <v>Ps=</v>
      </c>
      <c r="E218" s="58">
        <f>$E$200</f>
        <v>0.6</v>
      </c>
      <c r="F218" s="91">
        <f>$F$200</f>
        <v>0.2</v>
      </c>
      <c r="G218" s="82" t="str">
        <f>G200</f>
        <v>Qs</v>
      </c>
      <c r="H218" s="1" t="s">
        <v>11</v>
      </c>
      <c r="I218" s="29"/>
      <c r="J218"/>
    </row>
    <row r="219" spans="2:10" ht="15" thickBot="1">
      <c r="B219" s="1"/>
      <c r="C219" s="2"/>
      <c r="D219" s="21" t="s">
        <v>9</v>
      </c>
      <c r="E219" s="22">
        <f>$T$8</f>
        <v>0.24</v>
      </c>
      <c r="F219" s="92">
        <f>$T$9</f>
        <v>0.45</v>
      </c>
      <c r="G219" s="24" t="s">
        <v>148</v>
      </c>
      <c r="H219" s="1" t="s">
        <v>119</v>
      </c>
      <c r="I219" s="29"/>
      <c r="J219"/>
    </row>
    <row r="220" spans="2:10" ht="13.5">
      <c r="B220" s="1"/>
      <c r="C220" s="2"/>
      <c r="D220" s="1" t="s">
        <v>12</v>
      </c>
      <c r="E220" s="9"/>
      <c r="I220" s="29"/>
      <c r="J220"/>
    </row>
    <row r="221" spans="2:10" ht="15" thickBot="1">
      <c r="B221" s="1"/>
      <c r="C221" s="2"/>
      <c r="D221" s="1" t="s">
        <v>136</v>
      </c>
      <c r="E221" s="9"/>
      <c r="I221" s="29"/>
      <c r="J221"/>
    </row>
    <row r="222" spans="2:10" ht="15" thickBot="1">
      <c r="B222" s="1"/>
      <c r="C222" s="2"/>
      <c r="D222" s="21" t="s">
        <v>137</v>
      </c>
      <c r="E222" s="102">
        <f>$E$219+$F$219*$E$202</f>
        <v>10.815000000000001</v>
      </c>
      <c r="F222" s="83">
        <f>$E$219</f>
        <v>0.24</v>
      </c>
      <c r="G222" s="76">
        <f>$F$219</f>
        <v>0.45</v>
      </c>
      <c r="H222" s="77">
        <f>$E$202</f>
        <v>23.5</v>
      </c>
      <c r="I222" s="29"/>
      <c r="J222"/>
    </row>
    <row r="223" spans="2:10" ht="13.5">
      <c r="B223" s="1"/>
      <c r="C223" s="2"/>
      <c r="D223" s="1" t="s">
        <v>138</v>
      </c>
      <c r="E223" s="9"/>
      <c r="I223" s="29"/>
      <c r="J223"/>
    </row>
    <row r="224" spans="2:10" ht="15" thickBot="1">
      <c r="B224" s="1"/>
      <c r="C224" s="2"/>
      <c r="D224" s="1" t="s">
        <v>198</v>
      </c>
      <c r="E224" s="9"/>
      <c r="I224" s="29"/>
      <c r="J224"/>
    </row>
    <row r="225" spans="2:10" ht="15" thickBot="1">
      <c r="B225" s="1"/>
      <c r="C225" s="2"/>
      <c r="D225" s="85">
        <f>$T$10</f>
        <v>0.5</v>
      </c>
      <c r="E225" s="1" t="s">
        <v>197</v>
      </c>
      <c r="G225" s="57">
        <f>$E$222-$D$225*($E$222)</f>
        <v>5.407500000000001</v>
      </c>
      <c r="H225" s="1" t="s">
        <v>40</v>
      </c>
      <c r="I225" s="29"/>
      <c r="J225"/>
    </row>
    <row r="226" spans="2:10" ht="15" thickBot="1">
      <c r="B226" s="1"/>
      <c r="C226" s="2"/>
      <c r="D226" s="57">
        <f>($G$225-$F$222)/$G$222</f>
        <v>11.483333333333334</v>
      </c>
      <c r="E226" s="1" t="s">
        <v>195</v>
      </c>
      <c r="F226" s="1" t="s">
        <v>196</v>
      </c>
      <c r="H226" s="29"/>
      <c r="I226" s="29"/>
      <c r="J226"/>
    </row>
    <row r="227" spans="2:10" ht="13.5">
      <c r="B227" s="1"/>
      <c r="C227" s="2"/>
      <c r="D227" s="104" t="s">
        <v>83</v>
      </c>
      <c r="E227" s="9"/>
      <c r="H227" s="29"/>
      <c r="I227" s="29"/>
      <c r="J227"/>
    </row>
    <row r="228" spans="2:10" ht="13.5">
      <c r="B228" s="1"/>
      <c r="C228" s="2"/>
      <c r="D228" s="104" t="s">
        <v>84</v>
      </c>
      <c r="E228" s="9"/>
      <c r="H228" s="29"/>
      <c r="I228" s="29"/>
      <c r="J228"/>
    </row>
    <row r="229" spans="2:10" ht="15" thickBot="1">
      <c r="B229" s="1"/>
      <c r="C229" s="2"/>
      <c r="D229" s="104" t="s">
        <v>85</v>
      </c>
      <c r="E229" s="9"/>
      <c r="H229" s="29"/>
      <c r="I229" s="29"/>
      <c r="J229"/>
    </row>
    <row r="230" spans="2:10" ht="15" thickBot="1">
      <c r="B230" s="1"/>
      <c r="C230" s="2"/>
      <c r="D230" s="21" t="s">
        <v>145</v>
      </c>
      <c r="E230" s="22">
        <f>E217</f>
        <v>10</v>
      </c>
      <c r="F230" s="87">
        <f>F217</f>
        <v>-0.2</v>
      </c>
      <c r="G230" s="88">
        <f>$D$226</f>
        <v>11.483333333333334</v>
      </c>
      <c r="H230" s="89" t="s">
        <v>139</v>
      </c>
      <c r="I230" s="90">
        <f>$E$230+$F$230*$G$230</f>
        <v>7.703333333333333</v>
      </c>
      <c r="J230" s="1" t="s">
        <v>140</v>
      </c>
    </row>
    <row r="231" spans="2:10" ht="13.5">
      <c r="B231" s="1"/>
      <c r="C231" s="2"/>
      <c r="D231" s="81" t="s">
        <v>141</v>
      </c>
      <c r="E231" s="9"/>
      <c r="H231" s="29"/>
      <c r="I231" s="29"/>
      <c r="J231"/>
    </row>
    <row r="232" spans="2:10" ht="15" thickBot="1">
      <c r="B232" s="1"/>
      <c r="C232" s="2"/>
      <c r="D232" s="1" t="s">
        <v>41</v>
      </c>
      <c r="E232" s="9"/>
      <c r="H232" s="29"/>
      <c r="I232" s="29"/>
      <c r="J232"/>
    </row>
    <row r="233" spans="2:10" ht="15" thickBot="1">
      <c r="B233" s="1"/>
      <c r="C233" s="2"/>
      <c r="D233" s="21" t="s">
        <v>147</v>
      </c>
      <c r="E233" s="94">
        <f>$I$230</f>
        <v>7.703333333333333</v>
      </c>
      <c r="F233" s="22">
        <f>E218</f>
        <v>0.6</v>
      </c>
      <c r="G233" s="23" t="s">
        <v>142</v>
      </c>
      <c r="H233" s="95">
        <f>$F$218</f>
        <v>0.2</v>
      </c>
      <c r="I233" s="96">
        <f>$D$226</f>
        <v>11.483333333333334</v>
      </c>
      <c r="J233" s="1" t="s">
        <v>191</v>
      </c>
    </row>
    <row r="234" spans="2:16" ht="15" thickBot="1">
      <c r="B234" s="1"/>
      <c r="C234" s="2"/>
      <c r="D234" s="72" t="s">
        <v>189</v>
      </c>
      <c r="E234" s="93"/>
      <c r="F234" s="99">
        <f>$E$233-$F$233-$H$233*$I$233</f>
        <v>4.806666666666667</v>
      </c>
      <c r="G234" s="20" t="s">
        <v>190</v>
      </c>
      <c r="H234" s="29"/>
      <c r="I234" s="29"/>
      <c r="J234"/>
      <c r="P234" s="127"/>
    </row>
    <row r="235" spans="2:16" ht="15" thickBot="1">
      <c r="B235" s="1"/>
      <c r="C235" s="2"/>
      <c r="D235" s="37" t="s">
        <v>86</v>
      </c>
      <c r="E235" s="97"/>
      <c r="F235" s="98"/>
      <c r="G235" s="37"/>
      <c r="H235" s="29"/>
      <c r="P235" s="127"/>
    </row>
    <row r="236" spans="2:16" ht="15" thickBot="1">
      <c r="B236" s="1"/>
      <c r="C236" s="2"/>
      <c r="D236" s="21" t="str">
        <f>D218</f>
        <v>Ps=</v>
      </c>
      <c r="E236" s="58">
        <f>$E$199</f>
        <v>10</v>
      </c>
      <c r="F236" s="58">
        <f>$F$199</f>
        <v>-0.2</v>
      </c>
      <c r="G236" s="82" t="str">
        <f>G218</f>
        <v>Qs</v>
      </c>
      <c r="H236" s="1" t="s">
        <v>87</v>
      </c>
      <c r="P236" s="127"/>
    </row>
    <row r="237" spans="2:16" ht="15" thickBot="1">
      <c r="B237" s="1"/>
      <c r="C237"/>
      <c r="D237" s="21" t="str">
        <f>$D$200</f>
        <v>Ps=</v>
      </c>
      <c r="E237" s="58">
        <f>$E$200+$F$234</f>
        <v>5.406666666666666</v>
      </c>
      <c r="F237" s="91">
        <f>$F$200</f>
        <v>0.2</v>
      </c>
      <c r="G237" s="82" t="str">
        <f>G219</f>
        <v>Qs</v>
      </c>
      <c r="H237" s="105">
        <f>$E$222</f>
        <v>10.815000000000001</v>
      </c>
      <c r="I237" s="1" t="s">
        <v>88</v>
      </c>
      <c r="K237"/>
      <c r="L237"/>
      <c r="M237"/>
      <c r="N237"/>
      <c r="O237"/>
      <c r="P237" s="127"/>
    </row>
    <row r="238" spans="2:16" ht="15" thickBot="1">
      <c r="B238" s="1"/>
      <c r="C238"/>
      <c r="D238" s="21" t="s">
        <v>9</v>
      </c>
      <c r="E238" s="22">
        <f>$T$8</f>
        <v>0.24</v>
      </c>
      <c r="F238" s="92">
        <f>$T$9</f>
        <v>0.45</v>
      </c>
      <c r="G238" s="24" t="s">
        <v>148</v>
      </c>
      <c r="H238" s="105">
        <f>$E$238+$F$238*$E$240</f>
        <v>5.407500000000001</v>
      </c>
      <c r="I238" s="1" t="s">
        <v>89</v>
      </c>
      <c r="K238"/>
      <c r="L238"/>
      <c r="M238"/>
      <c r="N238"/>
      <c r="O238"/>
      <c r="P238" s="127"/>
    </row>
    <row r="239" spans="2:16" ht="15" thickBot="1">
      <c r="B239" s="1"/>
      <c r="C239"/>
      <c r="D239"/>
      <c r="E239"/>
      <c r="F239"/>
      <c r="G239"/>
      <c r="H239" s="84">
        <f>(H237-H238)/H237</f>
        <v>0.5</v>
      </c>
      <c r="I239" s="1" t="s">
        <v>194</v>
      </c>
      <c r="M239"/>
      <c r="N239"/>
      <c r="O239"/>
      <c r="P239" s="127"/>
    </row>
    <row r="240" spans="3:16" ht="15" thickBot="1">
      <c r="C240" s="2"/>
      <c r="D240" s="21" t="s">
        <v>149</v>
      </c>
      <c r="E240" s="102">
        <f>($E$236-$E$237)/(-$F$236+$F$237)</f>
        <v>11.483333333333334</v>
      </c>
      <c r="F240" s="98" t="s">
        <v>192</v>
      </c>
      <c r="P240" s="127"/>
    </row>
    <row r="241" spans="3:16" ht="15" thickBot="1">
      <c r="C241" s="2"/>
      <c r="D241" s="21" t="s">
        <v>150</v>
      </c>
      <c r="E241" s="103">
        <f>$E$236+$F$236*$E$240</f>
        <v>7.703333333333333</v>
      </c>
      <c r="F241" s="98" t="s">
        <v>193</v>
      </c>
      <c r="P241" s="127"/>
    </row>
    <row r="242" spans="3:6" ht="15" thickBot="1">
      <c r="C242" s="2"/>
      <c r="D242" s="21" t="s">
        <v>152</v>
      </c>
      <c r="E242" s="103">
        <f>$E$240*$E$241</f>
        <v>88.45994444444445</v>
      </c>
      <c r="F242" s="98"/>
    </row>
    <row r="243" spans="2:5" ht="13.5">
      <c r="B243" s="1"/>
      <c r="C243" s="2"/>
      <c r="D243" s="1" t="s">
        <v>90</v>
      </c>
      <c r="E243" s="9"/>
    </row>
    <row r="244" spans="2:9" ht="15" thickBot="1">
      <c r="B244" s="1"/>
      <c r="C244" s="2"/>
      <c r="D244" s="1" t="s">
        <v>91</v>
      </c>
      <c r="E244" s="9"/>
      <c r="H244" s="29"/>
      <c r="I244" s="81"/>
    </row>
    <row r="245" spans="2:11" ht="15" thickBot="1">
      <c r="B245" s="1"/>
      <c r="C245" s="2"/>
      <c r="D245" s="1" t="s">
        <v>92</v>
      </c>
      <c r="G245" s="37"/>
      <c r="H245" s="29"/>
      <c r="I245" s="81"/>
      <c r="J245" s="57">
        <f>ABS($E$241/($F$236*$E$240))</f>
        <v>3.3541364296081273</v>
      </c>
      <c r="K245" s="1" t="s">
        <v>93</v>
      </c>
    </row>
    <row r="246" spans="2:9" ht="13.5">
      <c r="B246" s="1"/>
      <c r="C246" s="2"/>
      <c r="D246" s="1" t="str">
        <f>IF(J245&gt;1,"greater than 1","less than one")</f>
        <v>greater than 1</v>
      </c>
      <c r="E246" s="1" t="s">
        <v>94</v>
      </c>
      <c r="G246" s="37"/>
      <c r="H246" s="50" t="str">
        <f>IF($J$245&gt;1,"decline","increase")</f>
        <v>decline</v>
      </c>
      <c r="I246" s="81" t="s">
        <v>95</v>
      </c>
    </row>
    <row r="247" spans="2:9" ht="13.5">
      <c r="B247" s="1"/>
      <c r="C247" s="2"/>
      <c r="G247" s="37"/>
      <c r="H247" s="50"/>
      <c r="I247" s="81"/>
    </row>
    <row r="248" spans="2:9" ht="13.5">
      <c r="B248" s="1"/>
      <c r="C248" s="2"/>
      <c r="G248" s="37"/>
      <c r="H248" s="50"/>
      <c r="I248" s="81"/>
    </row>
    <row r="249" spans="2:9" ht="13.5">
      <c r="B249" s="1"/>
      <c r="C249" s="2"/>
      <c r="G249" s="37"/>
      <c r="H249" s="50"/>
      <c r="I249" s="81"/>
    </row>
    <row r="250" spans="2:9" ht="15" thickBot="1">
      <c r="B250" s="1"/>
      <c r="C250" s="2"/>
      <c r="G250" s="37"/>
      <c r="H250" s="50"/>
      <c r="I250" s="81"/>
    </row>
    <row r="251" spans="2:12" ht="15" thickBot="1">
      <c r="B251" s="1"/>
      <c r="C251" s="2" t="s">
        <v>98</v>
      </c>
      <c r="D251" s="118"/>
      <c r="E251" s="119"/>
      <c r="F251" s="114"/>
      <c r="G251" s="115" t="s">
        <v>99</v>
      </c>
      <c r="H251" s="120"/>
      <c r="I251" s="120"/>
      <c r="J251" s="114"/>
      <c r="K251" s="114"/>
      <c r="L251" s="117"/>
    </row>
    <row r="252" spans="2:12" ht="13.5">
      <c r="B252" s="1"/>
      <c r="C252" s="2"/>
      <c r="D252" s="37" t="s">
        <v>100</v>
      </c>
      <c r="E252" s="97"/>
      <c r="F252" s="37"/>
      <c r="G252" s="106"/>
      <c r="H252" s="107"/>
      <c r="I252" s="107"/>
      <c r="J252" s="37"/>
      <c r="K252" s="37"/>
      <c r="L252" s="37"/>
    </row>
    <row r="253" spans="2:12" ht="13.5">
      <c r="B253" s="1"/>
      <c r="C253" s="2"/>
      <c r="D253" s="37" t="s">
        <v>120</v>
      </c>
      <c r="E253" s="97"/>
      <c r="F253" s="37"/>
      <c r="G253" s="106"/>
      <c r="H253" s="107"/>
      <c r="I253" s="107"/>
      <c r="J253" s="37"/>
      <c r="K253" s="37"/>
      <c r="L253" s="37"/>
    </row>
    <row r="254" spans="2:12" ht="13.5">
      <c r="B254" s="1"/>
      <c r="C254" s="2"/>
      <c r="D254" s="37" t="s">
        <v>121</v>
      </c>
      <c r="E254" s="97"/>
      <c r="F254" s="37"/>
      <c r="G254" s="106"/>
      <c r="H254" s="107"/>
      <c r="I254" s="107"/>
      <c r="J254" s="37"/>
      <c r="K254" s="37"/>
      <c r="L254" s="37"/>
    </row>
    <row r="255" spans="2:12" ht="13.5">
      <c r="B255" s="1"/>
      <c r="C255" s="2"/>
      <c r="D255" s="37" t="s">
        <v>122</v>
      </c>
      <c r="E255" s="97"/>
      <c r="F255" s="37"/>
      <c r="G255" s="106"/>
      <c r="H255" s="107"/>
      <c r="I255" s="107"/>
      <c r="J255" s="37"/>
      <c r="K255" s="37"/>
      <c r="L255" s="37"/>
    </row>
    <row r="256" spans="2:12" ht="13.5">
      <c r="B256" s="1"/>
      <c r="C256" s="2"/>
      <c r="D256" s="37" t="s">
        <v>80</v>
      </c>
      <c r="E256" s="97"/>
      <c r="F256" s="37"/>
      <c r="G256" s="106"/>
      <c r="H256" s="107"/>
      <c r="I256" s="107"/>
      <c r="J256" s="37"/>
      <c r="K256" s="37"/>
      <c r="L256" s="37"/>
    </row>
    <row r="257" spans="2:12" ht="13.5">
      <c r="B257" s="1"/>
      <c r="C257" s="2"/>
      <c r="D257" s="37" t="s">
        <v>81</v>
      </c>
      <c r="E257" s="97"/>
      <c r="F257" s="37"/>
      <c r="G257" s="106"/>
      <c r="H257" s="107"/>
      <c r="I257" s="107"/>
      <c r="J257" s="37"/>
      <c r="K257" s="37"/>
      <c r="L257" s="37"/>
    </row>
    <row r="258" spans="2:12" ht="15" thickBot="1">
      <c r="B258" s="1"/>
      <c r="C258" s="2"/>
      <c r="D258" s="37" t="s">
        <v>82</v>
      </c>
      <c r="E258" s="97"/>
      <c r="F258" s="37"/>
      <c r="G258" s="106"/>
      <c r="H258" s="107"/>
      <c r="I258" s="107"/>
      <c r="J258" s="37"/>
      <c r="K258" s="37"/>
      <c r="L258" s="37"/>
    </row>
    <row r="259" spans="2:9" ht="15" thickBot="1">
      <c r="B259" s="1"/>
      <c r="C259" s="2"/>
      <c r="D259" s="21" t="str">
        <f>$D$199</f>
        <v>Pd=</v>
      </c>
      <c r="E259" s="22">
        <f>$T$4</f>
        <v>10</v>
      </c>
      <c r="F259" s="22">
        <f>$T$5</f>
        <v>-0.2</v>
      </c>
      <c r="G259" s="24" t="str">
        <f>$G$199</f>
        <v>Qd</v>
      </c>
      <c r="H259" s="1" t="s">
        <v>101</v>
      </c>
      <c r="I259" s="44"/>
    </row>
    <row r="260" spans="2:9" ht="15" thickBot="1">
      <c r="B260" s="1"/>
      <c r="C260" s="2"/>
      <c r="D260" s="21" t="str">
        <f>$D$200</f>
        <v>Ps=</v>
      </c>
      <c r="E260" s="22">
        <f>$T$6</f>
        <v>0.6</v>
      </c>
      <c r="F260" s="92">
        <f>$T$7</f>
        <v>0.2</v>
      </c>
      <c r="G260" s="24" t="str">
        <f>$G$200</f>
        <v>Qs</v>
      </c>
      <c r="H260" s="1" t="s">
        <v>102</v>
      </c>
      <c r="I260" s="44"/>
    </row>
    <row r="261" spans="2:9" ht="15" thickBot="1">
      <c r="B261" s="1"/>
      <c r="C261" s="2"/>
      <c r="D261" s="43" t="s">
        <v>104</v>
      </c>
      <c r="E261" s="49"/>
      <c r="F261" s="109"/>
      <c r="G261" s="18"/>
      <c r="I261" s="44"/>
    </row>
    <row r="262" spans="2:9" ht="15" thickBot="1">
      <c r="B262" s="1"/>
      <c r="C262" s="2"/>
      <c r="D262" s="21" t="s">
        <v>149</v>
      </c>
      <c r="E262" s="22">
        <f>(E259-E260)/(-F259+F260)</f>
        <v>23.5</v>
      </c>
      <c r="F262" s="109"/>
      <c r="G262" s="37" t="s">
        <v>105</v>
      </c>
      <c r="I262" s="44"/>
    </row>
    <row r="263" spans="2:9" ht="15" thickBot="1">
      <c r="B263" s="1"/>
      <c r="C263" s="2"/>
      <c r="D263" s="21" t="s">
        <v>150</v>
      </c>
      <c r="E263" s="30">
        <f>E259+E262*F259</f>
        <v>5.3</v>
      </c>
      <c r="F263" s="109"/>
      <c r="G263" s="110">
        <f>$E$263/($F$259*$E$262)</f>
        <v>-1.127659574468085</v>
      </c>
      <c r="I263" s="44"/>
    </row>
    <row r="264" spans="2:9" ht="15" thickBot="1">
      <c r="B264" s="1"/>
      <c r="C264" s="2"/>
      <c r="D264" s="13" t="s">
        <v>152</v>
      </c>
      <c r="E264" s="28">
        <f>E262*E263</f>
        <v>124.55</v>
      </c>
      <c r="F264" s="109"/>
      <c r="G264" s="37"/>
      <c r="I264" s="44"/>
    </row>
    <row r="265" spans="2:10" ht="15" thickBot="1">
      <c r="B265" s="1"/>
      <c r="C265" s="2"/>
      <c r="D265" s="1" t="s">
        <v>103</v>
      </c>
      <c r="G265" s="16">
        <f>$T$11</f>
        <v>2</v>
      </c>
      <c r="H265" s="1" t="s">
        <v>164</v>
      </c>
      <c r="I265" s="17"/>
      <c r="J265"/>
    </row>
    <row r="266" spans="2:10" ht="15" thickBot="1">
      <c r="B266" s="1"/>
      <c r="C266" s="2"/>
      <c r="D266" s="1" t="s">
        <v>165</v>
      </c>
      <c r="E266" s="29"/>
      <c r="F266" s="29"/>
      <c r="G266" s="29"/>
      <c r="I266" s="17"/>
      <c r="J266" s="17"/>
    </row>
    <row r="267" spans="2:11" ht="13.5">
      <c r="B267" s="1"/>
      <c r="C267" s="2"/>
      <c r="D267" s="10" t="s">
        <v>145</v>
      </c>
      <c r="E267" s="11">
        <f>$T$4</f>
        <v>10</v>
      </c>
      <c r="F267" s="11">
        <f>$T$5</f>
        <v>-0.2</v>
      </c>
      <c r="G267" s="12" t="str">
        <f>G199</f>
        <v>Qd</v>
      </c>
      <c r="K267" s="17"/>
    </row>
    <row r="268" spans="2:11" ht="15" thickBot="1">
      <c r="B268" s="1"/>
      <c r="C268" s="2"/>
      <c r="D268" s="13" t="s">
        <v>147</v>
      </c>
      <c r="E268" s="14">
        <f>$T$6+$G$265</f>
        <v>2.6</v>
      </c>
      <c r="F268" s="39">
        <f>$T$7</f>
        <v>0.2</v>
      </c>
      <c r="G268" s="15" t="str">
        <f>G200</f>
        <v>Qs</v>
      </c>
      <c r="K268" s="17"/>
    </row>
    <row r="269" spans="2:9" ht="15" thickBot="1">
      <c r="B269" s="1"/>
      <c r="C269" s="2"/>
      <c r="D269" s="1" t="s">
        <v>167</v>
      </c>
      <c r="E269" s="29"/>
      <c r="F269" s="29"/>
      <c r="G269" s="29"/>
      <c r="I269" s="17"/>
    </row>
    <row r="270" spans="2:9" ht="15" thickBot="1">
      <c r="B270" s="1"/>
      <c r="C270" s="2"/>
      <c r="D270" s="21" t="s">
        <v>149</v>
      </c>
      <c r="E270" s="22">
        <f>(E267-E268)/(-F267+F268)</f>
        <v>18.5</v>
      </c>
      <c r="F270" s="40"/>
      <c r="G270" s="37" t="s">
        <v>107</v>
      </c>
      <c r="I270" s="17"/>
    </row>
    <row r="271" spans="2:10" ht="15" thickBot="1">
      <c r="B271" s="1"/>
      <c r="C271" s="2"/>
      <c r="D271" s="10" t="s">
        <v>150</v>
      </c>
      <c r="E271" s="25">
        <f>E267+E270*F267</f>
        <v>6.3</v>
      </c>
      <c r="G271" s="108">
        <f>ABS(E271/(F267*E270))</f>
        <v>1.7027027027027026</v>
      </c>
      <c r="H271" s="1" t="s">
        <v>106</v>
      </c>
      <c r="J271" s="1" t="str">
        <f>IF(G271&lt;1,"less than 1","greater than 1")</f>
        <v>greater than 1</v>
      </c>
    </row>
    <row r="272" spans="2:10" ht="15" thickBot="1">
      <c r="B272" s="1"/>
      <c r="C272" s="2"/>
      <c r="D272" s="13" t="s">
        <v>152</v>
      </c>
      <c r="E272" s="28">
        <f>E270*E271</f>
        <v>116.55</v>
      </c>
      <c r="G272" s="1" t="s">
        <v>39</v>
      </c>
      <c r="I272" s="48" t="str">
        <f>IF(G271&lt;1,"increase","decrease")</f>
        <v>decrease</v>
      </c>
      <c r="J272" s="1" t="s">
        <v>95</v>
      </c>
    </row>
    <row r="273" spans="2:8" ht="15" thickBot="1">
      <c r="B273" s="1"/>
      <c r="C273" s="2"/>
      <c r="D273" s="52" t="s">
        <v>168</v>
      </c>
      <c r="E273" s="34"/>
      <c r="F273" s="30">
        <f>E270*$G$265</f>
        <v>37</v>
      </c>
      <c r="G273" s="111">
        <f>$G$265</f>
        <v>2</v>
      </c>
      <c r="H273" s="79">
        <f>$E$270</f>
        <v>18.5</v>
      </c>
    </row>
    <row r="274" spans="2:8" ht="13.5">
      <c r="B274" s="1"/>
      <c r="C274" s="2"/>
      <c r="D274" s="54" t="s">
        <v>169</v>
      </c>
      <c r="E274" s="53"/>
      <c r="F274" s="18"/>
      <c r="G274" s="47"/>
      <c r="H274" s="42"/>
    </row>
    <row r="275" spans="2:8" ht="13.5">
      <c r="B275" s="1"/>
      <c r="C275" s="2"/>
      <c r="D275" s="37" t="s">
        <v>170</v>
      </c>
      <c r="E275" s="55"/>
      <c r="F275" s="47"/>
      <c r="G275" s="47"/>
      <c r="H275" s="42"/>
    </row>
    <row r="276" spans="2:10" ht="15" thickBot="1">
      <c r="B276" s="1"/>
      <c r="C276" s="2"/>
      <c r="D276" s="37" t="s">
        <v>171</v>
      </c>
      <c r="E276" s="55"/>
      <c r="F276" s="47"/>
      <c r="G276" s="47"/>
      <c r="H276" s="42"/>
      <c r="J276" s="50"/>
    </row>
    <row r="277" spans="2:11" ht="15" thickBot="1">
      <c r="B277" s="1"/>
      <c r="C277" s="2"/>
      <c r="D277" s="21" t="str">
        <f>D267</f>
        <v>Pd=</v>
      </c>
      <c r="E277" s="58">
        <f aca="true" t="shared" si="1" ref="E277:G278">E267</f>
        <v>10</v>
      </c>
      <c r="F277" s="58">
        <f t="shared" si="1"/>
        <v>-0.2</v>
      </c>
      <c r="G277" s="59" t="str">
        <f t="shared" si="1"/>
        <v>Qd</v>
      </c>
      <c r="H277" s="42"/>
      <c r="I277" s="56">
        <f>ABS(F277)</f>
        <v>0.2</v>
      </c>
      <c r="J277" s="160">
        <f>I277/$I$279</f>
        <v>0.5</v>
      </c>
      <c r="K277" s="1" t="s">
        <v>42</v>
      </c>
    </row>
    <row r="278" spans="2:11" ht="15" thickBot="1">
      <c r="B278" s="1"/>
      <c r="C278" s="2"/>
      <c r="D278" s="21" t="str">
        <f>D268</f>
        <v>Ps=</v>
      </c>
      <c r="E278" s="58">
        <f t="shared" si="1"/>
        <v>2.6</v>
      </c>
      <c r="F278" s="58">
        <f t="shared" si="1"/>
        <v>0.2</v>
      </c>
      <c r="G278" s="59" t="str">
        <f t="shared" si="1"/>
        <v>Qs</v>
      </c>
      <c r="H278" s="42"/>
      <c r="I278" s="35">
        <f>ABS(F278)</f>
        <v>0.2</v>
      </c>
      <c r="J278" s="161">
        <f>I278/$I$279</f>
        <v>0.5</v>
      </c>
      <c r="K278" s="1" t="s">
        <v>43</v>
      </c>
    </row>
    <row r="279" spans="2:11" ht="15" thickBot="1">
      <c r="B279" s="1"/>
      <c r="C279" s="2"/>
      <c r="D279" s="37"/>
      <c r="E279" s="55"/>
      <c r="F279" s="47"/>
      <c r="G279" s="47"/>
      <c r="H279" s="42"/>
      <c r="I279" s="57">
        <f>SUM(I277:I278)</f>
        <v>0.4</v>
      </c>
      <c r="J279" s="62">
        <f>SUM(J277:J278)</f>
        <v>1</v>
      </c>
      <c r="K279" s="1" t="s">
        <v>44</v>
      </c>
    </row>
    <row r="280" spans="2:8" ht="13.5">
      <c r="B280" s="1"/>
      <c r="C280" s="2"/>
      <c r="D280" s="37" t="s">
        <v>172</v>
      </c>
      <c r="E280" s="55"/>
      <c r="F280" s="47"/>
      <c r="G280" s="47"/>
      <c r="H280" s="42"/>
    </row>
    <row r="281" spans="2:8" ht="13.5">
      <c r="B281" s="1"/>
      <c r="C281" s="2"/>
      <c r="D281" s="37" t="s">
        <v>199</v>
      </c>
      <c r="E281" s="55"/>
      <c r="F281" s="47"/>
      <c r="G281" s="47"/>
      <c r="H281" s="42"/>
    </row>
    <row r="282" spans="2:8" ht="15" thickBot="1">
      <c r="B282" s="1"/>
      <c r="C282" s="2"/>
      <c r="D282" s="37" t="s">
        <v>200</v>
      </c>
      <c r="E282" s="55"/>
      <c r="F282" s="47"/>
      <c r="G282" s="47"/>
      <c r="H282" s="42"/>
    </row>
    <row r="283" spans="2:10" ht="15" thickBot="1">
      <c r="B283" s="1"/>
      <c r="C283" s="2"/>
      <c r="D283" s="52"/>
      <c r="E283" s="34"/>
      <c r="F283" s="23"/>
      <c r="G283" s="59" t="s">
        <v>201</v>
      </c>
      <c r="H283" s="64">
        <f>$H$285*J283</f>
        <v>18.5</v>
      </c>
      <c r="I283" s="65">
        <f>H285</f>
        <v>37</v>
      </c>
      <c r="J283" s="69">
        <f>J277</f>
        <v>0.5</v>
      </c>
    </row>
    <row r="284" spans="2:10" ht="15" thickBot="1">
      <c r="B284" s="1"/>
      <c r="C284" s="2"/>
      <c r="D284" s="52"/>
      <c r="E284" s="34"/>
      <c r="F284" s="23"/>
      <c r="G284" s="59" t="s">
        <v>202</v>
      </c>
      <c r="H284" s="63">
        <f>$H$285*J284</f>
        <v>18.5</v>
      </c>
      <c r="I284" s="65">
        <f>H285</f>
        <v>37</v>
      </c>
      <c r="J284" s="69">
        <f>J278</f>
        <v>0.5</v>
      </c>
    </row>
    <row r="285" spans="2:8" ht="15" thickBot="1">
      <c r="B285" s="1"/>
      <c r="C285" s="2"/>
      <c r="D285" s="72"/>
      <c r="E285" s="36"/>
      <c r="F285" s="19"/>
      <c r="G285" s="73" t="s">
        <v>203</v>
      </c>
      <c r="H285" s="64">
        <f>$F$273</f>
        <v>37</v>
      </c>
    </row>
    <row r="286" spans="2:8" ht="13.5">
      <c r="B286" s="1"/>
      <c r="C286" s="2"/>
      <c r="D286" s="37" t="s">
        <v>204</v>
      </c>
      <c r="E286" s="55"/>
      <c r="F286" s="47"/>
      <c r="G286" s="47"/>
      <c r="H286" s="42"/>
    </row>
    <row r="287" spans="2:8" ht="13.5">
      <c r="B287" s="1"/>
      <c r="C287" s="2"/>
      <c r="D287" s="37" t="s">
        <v>205</v>
      </c>
      <c r="E287" s="55"/>
      <c r="F287" s="47"/>
      <c r="G287" s="47"/>
      <c r="H287" s="42"/>
    </row>
    <row r="288" spans="2:8" ht="13.5">
      <c r="B288" s="1"/>
      <c r="C288" s="2"/>
      <c r="D288" s="37" t="s">
        <v>59</v>
      </c>
      <c r="E288" s="55"/>
      <c r="F288" s="47"/>
      <c r="G288" s="47"/>
      <c r="H288" s="42"/>
    </row>
    <row r="289" spans="2:8" ht="15" thickBot="1">
      <c r="B289" s="1"/>
      <c r="C289" s="2"/>
      <c r="D289" s="37" t="s">
        <v>60</v>
      </c>
      <c r="E289" s="55"/>
      <c r="F289" s="47"/>
      <c r="G289" s="47"/>
      <c r="H289" s="42"/>
    </row>
    <row r="290" spans="2:12" ht="15" thickBot="1">
      <c r="B290" s="1"/>
      <c r="C290" s="2"/>
      <c r="D290" s="26"/>
      <c r="E290" s="34"/>
      <c r="F290" s="23"/>
      <c r="G290" s="33" t="s">
        <v>154</v>
      </c>
      <c r="H290" s="30">
        <f>(E202-E270)*$G$265*0.5</f>
        <v>5</v>
      </c>
      <c r="I290" s="65">
        <f>0.5</f>
        <v>0.5</v>
      </c>
      <c r="J290" s="66">
        <f>$E$202</f>
        <v>23.5</v>
      </c>
      <c r="K290" s="67">
        <f>$E$270</f>
        <v>18.5</v>
      </c>
      <c r="L290" s="68">
        <f>(G$265)</f>
        <v>2</v>
      </c>
    </row>
    <row r="291" spans="2:8" ht="15" thickBot="1">
      <c r="B291" s="1"/>
      <c r="C291" s="2"/>
      <c r="D291" s="52"/>
      <c r="E291" s="34"/>
      <c r="F291" s="23"/>
      <c r="G291" s="33" t="s">
        <v>61</v>
      </c>
      <c r="H291" s="30">
        <f>$F$273</f>
        <v>37</v>
      </c>
    </row>
    <row r="292" spans="2:15" ht="15" thickBot="1">
      <c r="B292" s="1"/>
      <c r="C292" s="2"/>
      <c r="D292" s="52"/>
      <c r="E292" s="31"/>
      <c r="F292" s="32"/>
      <c r="G292" s="33" t="s">
        <v>62</v>
      </c>
      <c r="H292" s="38">
        <f>H290/F273</f>
        <v>0.13513513513513514</v>
      </c>
      <c r="I292" s="70">
        <f>$H$290</f>
        <v>5</v>
      </c>
      <c r="J292" s="71">
        <f>$H$291</f>
        <v>37</v>
      </c>
      <c r="M292"/>
      <c r="N292"/>
      <c r="O292"/>
    </row>
    <row r="293" spans="2:15" ht="13.5">
      <c r="B293" s="1"/>
      <c r="C293" s="2"/>
      <c r="D293" s="1" t="s">
        <v>63</v>
      </c>
      <c r="M293"/>
      <c r="N293"/>
      <c r="O293"/>
    </row>
    <row r="294" spans="2:15" ht="13.5">
      <c r="B294" s="1"/>
      <c r="C294" s="2"/>
      <c r="D294" s="1" t="s">
        <v>108</v>
      </c>
      <c r="M294"/>
      <c r="N294"/>
      <c r="O294"/>
    </row>
    <row r="295" spans="2:15" ht="15" thickBot="1">
      <c r="B295" s="1"/>
      <c r="C295" s="2"/>
      <c r="I295" s="47"/>
      <c r="M295"/>
      <c r="N295"/>
      <c r="O295"/>
    </row>
    <row r="296" spans="2:15" ht="15" thickBot="1">
      <c r="B296" s="1"/>
      <c r="C296" s="2" t="s">
        <v>45</v>
      </c>
      <c r="D296" s="112"/>
      <c r="E296" s="113"/>
      <c r="F296" s="114"/>
      <c r="G296" s="115" t="s">
        <v>46</v>
      </c>
      <c r="H296" s="114"/>
      <c r="I296" s="116"/>
      <c r="J296" s="116"/>
      <c r="K296" s="117"/>
      <c r="M296"/>
      <c r="N296"/>
      <c r="O296"/>
    </row>
    <row r="297" spans="2:15" ht="13.5">
      <c r="B297" s="1"/>
      <c r="C297" s="2"/>
      <c r="D297" s="1" t="s">
        <v>109</v>
      </c>
      <c r="M297"/>
      <c r="N297"/>
      <c r="O297"/>
    </row>
    <row r="298" spans="2:15" ht="13.5">
      <c r="B298" s="1"/>
      <c r="C298" s="2"/>
      <c r="D298" s="1" t="s">
        <v>48</v>
      </c>
      <c r="M298"/>
      <c r="N298"/>
      <c r="O298"/>
    </row>
    <row r="299" spans="2:15" ht="13.5">
      <c r="B299" s="1"/>
      <c r="C299" s="2"/>
      <c r="D299" s="1" t="s">
        <v>49</v>
      </c>
      <c r="M299"/>
      <c r="N299"/>
      <c r="O299"/>
    </row>
    <row r="300" spans="2:15" ht="13.5">
      <c r="B300" s="1"/>
      <c r="C300" s="2"/>
      <c r="D300" s="1" t="s">
        <v>179</v>
      </c>
      <c r="M300"/>
      <c r="N300"/>
      <c r="O300"/>
    </row>
    <row r="301" spans="2:15" ht="13.5">
      <c r="B301" s="1"/>
      <c r="C301" s="2"/>
      <c r="D301" s="1" t="s">
        <v>180</v>
      </c>
      <c r="M301"/>
      <c r="N301"/>
      <c r="O301"/>
    </row>
    <row r="302" spans="2:4" ht="13.5">
      <c r="B302" s="1"/>
      <c r="C302" s="2"/>
      <c r="D302" s="1" t="s">
        <v>175</v>
      </c>
    </row>
    <row r="303" spans="2:4" ht="13.5">
      <c r="B303" s="1"/>
      <c r="C303" s="2"/>
      <c r="D303" s="1" t="s">
        <v>176</v>
      </c>
    </row>
    <row r="304" spans="2:4" ht="15" thickBot="1">
      <c r="B304" s="1"/>
      <c r="C304" s="2"/>
      <c r="D304" s="1" t="s">
        <v>47</v>
      </c>
    </row>
    <row r="305" spans="2:7" ht="15" thickBot="1">
      <c r="B305" s="1"/>
      <c r="C305" s="2"/>
      <c r="D305" s="21" t="s">
        <v>145</v>
      </c>
      <c r="E305" s="22">
        <f>$T$4</f>
        <v>10</v>
      </c>
      <c r="F305" s="22">
        <f>$T$5</f>
        <v>-0.2</v>
      </c>
      <c r="G305" s="24" t="s">
        <v>146</v>
      </c>
    </row>
    <row r="306" spans="2:7" ht="15" thickBot="1">
      <c r="B306" s="1"/>
      <c r="C306" s="2"/>
      <c r="D306" s="13" t="s">
        <v>147</v>
      </c>
      <c r="E306" s="159">
        <f>$T$6</f>
        <v>0.6</v>
      </c>
      <c r="F306" s="39">
        <f>$T$7</f>
        <v>0.2</v>
      </c>
      <c r="G306" s="24" t="s">
        <v>148</v>
      </c>
    </row>
    <row r="307" spans="2:5" ht="15" thickBot="1">
      <c r="B307" s="1"/>
      <c r="C307" s="2"/>
      <c r="D307" s="1" t="s">
        <v>155</v>
      </c>
      <c r="E307" s="9"/>
    </row>
    <row r="308" spans="2:7" ht="15" thickBot="1">
      <c r="B308" s="1"/>
      <c r="C308" s="2"/>
      <c r="D308" s="21" t="s">
        <v>149</v>
      </c>
      <c r="E308" s="22">
        <f>(E305-E306)/(-F305+F306)</f>
        <v>23.5</v>
      </c>
      <c r="F308" s="40"/>
      <c r="G308" s="1" t="s">
        <v>135</v>
      </c>
    </row>
    <row r="309" spans="2:7" ht="15" thickBot="1">
      <c r="B309" s="1"/>
      <c r="C309" s="2"/>
      <c r="D309" s="21" t="s">
        <v>150</v>
      </c>
      <c r="E309" s="30">
        <f>E305+E308*F305</f>
        <v>5.3</v>
      </c>
      <c r="G309" s="108">
        <f>ABS(E309/(F305*E308))</f>
        <v>1.127659574468085</v>
      </c>
    </row>
    <row r="310" spans="2:5" ht="15" thickBot="1">
      <c r="B310" s="1"/>
      <c r="C310" s="2"/>
      <c r="D310" s="13" t="s">
        <v>152</v>
      </c>
      <c r="E310" s="28">
        <f>E308*E309</f>
        <v>124.55</v>
      </c>
    </row>
    <row r="311" spans="2:4" ht="13.5">
      <c r="B311" s="1"/>
      <c r="C311" s="2"/>
      <c r="D311" s="1" t="s">
        <v>182</v>
      </c>
    </row>
    <row r="312" spans="2:4" ht="15" thickBot="1">
      <c r="B312" s="1"/>
      <c r="C312" s="2"/>
      <c r="D312" s="1" t="s">
        <v>183</v>
      </c>
    </row>
    <row r="313" spans="2:10" ht="15.75" thickBot="1">
      <c r="B313" s="1"/>
      <c r="C313" s="2"/>
      <c r="D313" s="21"/>
      <c r="E313" s="33" t="s">
        <v>184</v>
      </c>
      <c r="F313" s="22">
        <f>E305</f>
        <v>10</v>
      </c>
      <c r="G313" s="23" t="s">
        <v>181</v>
      </c>
      <c r="H313" s="22">
        <f>F305</f>
        <v>-0.2</v>
      </c>
      <c r="I313" s="24" t="s">
        <v>187</v>
      </c>
      <c r="J313" s="1" t="s">
        <v>174</v>
      </c>
    </row>
    <row r="314" spans="2:9" ht="15" thickBot="1">
      <c r="B314" s="1"/>
      <c r="D314" s="52"/>
      <c r="E314" s="33"/>
      <c r="F314" s="33" t="s">
        <v>173</v>
      </c>
      <c r="G314" s="22">
        <f>F313</f>
        <v>10</v>
      </c>
      <c r="H314" s="22">
        <f>2*H313</f>
        <v>-0.4</v>
      </c>
      <c r="I314" s="24" t="s">
        <v>181</v>
      </c>
    </row>
    <row r="315" spans="2:9" ht="13.5">
      <c r="B315" s="1"/>
      <c r="D315" s="37" t="s">
        <v>177</v>
      </c>
      <c r="E315" s="41"/>
      <c r="F315" s="41"/>
      <c r="G315" s="49"/>
      <c r="H315" s="49"/>
      <c r="I315" s="47"/>
    </row>
    <row r="316" spans="2:9" ht="15" thickBot="1">
      <c r="B316" s="1"/>
      <c r="D316" s="37" t="s">
        <v>25</v>
      </c>
      <c r="E316" s="41"/>
      <c r="F316" s="41"/>
      <c r="G316" s="49"/>
      <c r="H316" s="49"/>
      <c r="I316" s="47"/>
    </row>
    <row r="317" spans="2:9" ht="15" thickBot="1">
      <c r="B317" s="1"/>
      <c r="D317" s="21"/>
      <c r="E317" s="33" t="s">
        <v>26</v>
      </c>
      <c r="F317" s="102">
        <f>(E309-G314)/H314</f>
        <v>11.75</v>
      </c>
      <c r="G317" s="166">
        <f>E309</f>
        <v>5.3</v>
      </c>
      <c r="H317" s="167">
        <f>G314</f>
        <v>10</v>
      </c>
      <c r="I317" s="168">
        <f>H314</f>
        <v>-0.4</v>
      </c>
    </row>
    <row r="318" spans="2:9" ht="13.5">
      <c r="B318" s="1"/>
      <c r="D318" s="43" t="s">
        <v>27</v>
      </c>
      <c r="E318" s="41"/>
      <c r="F318" s="49"/>
      <c r="G318" s="49"/>
      <c r="H318" s="49"/>
      <c r="I318" s="47"/>
    </row>
    <row r="319" spans="2:9" ht="15" thickBot="1">
      <c r="B319" s="1"/>
      <c r="D319" s="43" t="s">
        <v>28</v>
      </c>
      <c r="E319" s="41"/>
      <c r="F319" s="49"/>
      <c r="G319" s="49"/>
      <c r="H319" s="49"/>
      <c r="I319" s="47"/>
    </row>
    <row r="320" spans="2:9" ht="15" thickBot="1">
      <c r="B320" s="1"/>
      <c r="C320" s="52"/>
      <c r="D320" s="155"/>
      <c r="E320" s="33" t="s">
        <v>185</v>
      </c>
      <c r="F320" s="103">
        <f>E305+F305*F317</f>
        <v>7.65</v>
      </c>
      <c r="G320" s="162">
        <f>E305</f>
        <v>10</v>
      </c>
      <c r="H320" s="163">
        <f>F305</f>
        <v>-0.2</v>
      </c>
      <c r="I320" s="79">
        <f>F317</f>
        <v>11.75</v>
      </c>
    </row>
    <row r="321" spans="2:9" ht="15" thickBot="1">
      <c r="B321" s="1"/>
      <c r="C321" s="52"/>
      <c r="D321" s="155"/>
      <c r="E321" s="33" t="s">
        <v>186</v>
      </c>
      <c r="F321" s="103">
        <f>E306+F306*F317</f>
        <v>2.95</v>
      </c>
      <c r="G321" s="162">
        <f>E306</f>
        <v>0.6</v>
      </c>
      <c r="H321" s="163">
        <f>F306</f>
        <v>0.2</v>
      </c>
      <c r="I321" s="79">
        <f>F317</f>
        <v>11.75</v>
      </c>
    </row>
    <row r="322" spans="2:8" ht="15" thickBot="1">
      <c r="B322" s="1"/>
      <c r="C322" s="52"/>
      <c r="D322" s="155"/>
      <c r="E322" s="133" t="s">
        <v>29</v>
      </c>
      <c r="F322" s="103">
        <f>F320-F321</f>
        <v>4.7</v>
      </c>
      <c r="G322" s="162">
        <f>F320</f>
        <v>7.65</v>
      </c>
      <c r="H322" s="164">
        <f>F321</f>
        <v>2.95</v>
      </c>
    </row>
    <row r="323" spans="2:8" ht="15" thickBot="1">
      <c r="B323" s="1"/>
      <c r="C323" s="52"/>
      <c r="D323" s="155"/>
      <c r="E323" s="133" t="s">
        <v>30</v>
      </c>
      <c r="F323" s="103">
        <f>F317*F322</f>
        <v>55.225</v>
      </c>
      <c r="G323" s="165">
        <f>F322</f>
        <v>4.7</v>
      </c>
      <c r="H323" s="143">
        <f>F317</f>
        <v>11.75</v>
      </c>
    </row>
    <row r="324" spans="2:6" ht="15" thickBot="1">
      <c r="B324" s="1"/>
      <c r="C324" s="21"/>
      <c r="D324" s="32"/>
      <c r="E324" s="133" t="s">
        <v>134</v>
      </c>
      <c r="F324" s="156">
        <f>ABS(F320/(F305*F327))</f>
        <v>3.477272727272727</v>
      </c>
    </row>
    <row r="325" spans="2:8" ht="15" thickBot="1">
      <c r="B325" s="1"/>
      <c r="C325" s="1" t="s">
        <v>53</v>
      </c>
      <c r="E325" s="86"/>
      <c r="F325" s="126"/>
      <c r="H325"/>
    </row>
    <row r="326" spans="2:8" ht="15" thickBot="1">
      <c r="B326" s="1"/>
      <c r="C326" s="81" t="s">
        <v>54</v>
      </c>
      <c r="E326" s="86"/>
      <c r="F326" s="125">
        <v>5</v>
      </c>
      <c r="G326" s="101"/>
      <c r="H326" s="1" t="s">
        <v>50</v>
      </c>
    </row>
    <row r="327" spans="2:7" ht="15" thickBot="1">
      <c r="B327" s="1"/>
      <c r="C327" s="2"/>
      <c r="E327" s="86"/>
      <c r="F327" s="134">
        <f>(E305-E306-F326)/(-F305+F306)</f>
        <v>11</v>
      </c>
      <c r="G327" s="1" t="s">
        <v>51</v>
      </c>
    </row>
    <row r="328" spans="2:7" ht="15" thickBot="1">
      <c r="B328" s="1"/>
      <c r="C328" s="2"/>
      <c r="E328" s="86"/>
      <c r="F328" s="125">
        <f>F326*F327</f>
        <v>55</v>
      </c>
      <c r="G328" s="1" t="s">
        <v>52</v>
      </c>
    </row>
    <row r="329" spans="2:7" ht="13.5">
      <c r="B329" s="1"/>
      <c r="C329" s="2"/>
      <c r="E329" s="86"/>
      <c r="F329" s="126"/>
      <c r="G329" s="124"/>
    </row>
    <row r="330" spans="2:10" ht="13.5">
      <c r="B330" s="1"/>
      <c r="C330" s="1" t="s">
        <v>36</v>
      </c>
      <c r="E330" s="101"/>
      <c r="F330" s="126"/>
      <c r="G330" s="126"/>
      <c r="H330" s="123"/>
      <c r="I330" s="123"/>
      <c r="J330" s="50"/>
    </row>
    <row r="331" spans="2:7" ht="13.5">
      <c r="B331" s="1"/>
      <c r="C331" s="2"/>
      <c r="E331" s="101"/>
      <c r="F331" s="126"/>
      <c r="G331" s="2" t="s">
        <v>56</v>
      </c>
    </row>
    <row r="332" spans="2:6" ht="13.5">
      <c r="B332" s="1"/>
      <c r="C332" s="2"/>
      <c r="E332" s="101"/>
      <c r="F332" s="126"/>
    </row>
    <row r="333" spans="2:6" ht="13.5">
      <c r="B333" s="1"/>
      <c r="C333" s="2"/>
      <c r="E333" s="101"/>
      <c r="F333" s="126"/>
    </row>
    <row r="334" spans="2:6" ht="13.5">
      <c r="B334" s="1"/>
      <c r="C334" s="2"/>
      <c r="E334" s="101"/>
      <c r="F334" s="126"/>
    </row>
    <row r="335" spans="2:6" ht="13.5">
      <c r="B335" s="1"/>
      <c r="C335" s="2"/>
      <c r="E335" s="101"/>
      <c r="F335" s="126"/>
    </row>
    <row r="336" spans="2:10" ht="13.5">
      <c r="B336" s="1"/>
      <c r="C336" s="2"/>
      <c r="E336" s="101"/>
      <c r="F336" s="126"/>
      <c r="G336" s="126"/>
      <c r="H336" s="123"/>
      <c r="I336" s="123"/>
      <c r="J336" s="50"/>
    </row>
    <row r="337" spans="2:10" ht="13.5">
      <c r="B337" s="1"/>
      <c r="C337" s="2"/>
      <c r="E337" s="101"/>
      <c r="F337" s="126"/>
      <c r="G337" s="126"/>
      <c r="H337" s="123"/>
      <c r="I337" s="123"/>
      <c r="J337" s="50"/>
    </row>
    <row r="338" spans="2:10" ht="13.5">
      <c r="B338" s="1"/>
      <c r="C338" s="2"/>
      <c r="E338" s="101"/>
      <c r="F338" s="126"/>
      <c r="G338" s="126"/>
      <c r="H338" s="123"/>
      <c r="I338" s="123"/>
      <c r="J338" s="50"/>
    </row>
    <row r="339" spans="2:10" ht="13.5">
      <c r="B339" s="1"/>
      <c r="C339" s="2"/>
      <c r="E339" s="101"/>
      <c r="F339" s="126"/>
      <c r="G339" s="126"/>
      <c r="H339" s="123"/>
      <c r="I339" s="123"/>
      <c r="J339" s="50"/>
    </row>
    <row r="340" spans="2:10" ht="13.5">
      <c r="B340" s="1"/>
      <c r="C340" s="2"/>
      <c r="E340" s="101"/>
      <c r="F340" s="126"/>
      <c r="G340" s="126"/>
      <c r="H340" s="123"/>
      <c r="I340" s="123"/>
      <c r="J340" s="50"/>
    </row>
    <row r="341" spans="2:10" ht="13.5">
      <c r="B341" s="1"/>
      <c r="C341" s="2"/>
      <c r="E341" s="101"/>
      <c r="F341" s="126"/>
      <c r="G341" s="126"/>
      <c r="H341" s="123"/>
      <c r="I341" s="123"/>
      <c r="J341" s="50"/>
    </row>
    <row r="342" spans="2:10" ht="13.5">
      <c r="B342" s="1"/>
      <c r="C342" s="2"/>
      <c r="E342" s="101"/>
      <c r="F342" s="126"/>
      <c r="G342" s="126"/>
      <c r="H342" s="123"/>
      <c r="I342" s="123"/>
      <c r="J342" s="50"/>
    </row>
    <row r="343" spans="2:10" ht="13.5">
      <c r="B343" s="1"/>
      <c r="C343" s="2"/>
      <c r="E343" s="101"/>
      <c r="F343" s="126"/>
      <c r="G343" s="126"/>
      <c r="H343" s="123"/>
      <c r="I343" s="123"/>
      <c r="J343" s="50"/>
    </row>
    <row r="344" spans="2:10" ht="13.5">
      <c r="B344" s="1"/>
      <c r="C344" s="81" t="s">
        <v>57</v>
      </c>
      <c r="E344" s="101"/>
      <c r="F344" s="126"/>
      <c r="G344" s="126"/>
      <c r="H344" s="123"/>
      <c r="I344" s="123"/>
      <c r="J344" s="50"/>
    </row>
    <row r="345" spans="2:10" ht="13.5">
      <c r="B345" s="1"/>
      <c r="C345" s="81" t="s">
        <v>58</v>
      </c>
      <c r="E345" s="101"/>
      <c r="F345" s="126"/>
      <c r="G345" s="126"/>
      <c r="H345" s="123"/>
      <c r="I345" s="123"/>
      <c r="J345" s="50"/>
    </row>
    <row r="346" spans="2:10" ht="13.5">
      <c r="B346" s="1"/>
      <c r="C346" s="81" t="s">
        <v>0</v>
      </c>
      <c r="E346" s="101"/>
      <c r="F346" s="126"/>
      <c r="G346" s="126"/>
      <c r="H346" s="123"/>
      <c r="I346" s="123"/>
      <c r="J346" s="50"/>
    </row>
    <row r="347" spans="2:10" ht="13.5">
      <c r="B347" s="1"/>
      <c r="C347" s="81" t="s">
        <v>5</v>
      </c>
      <c r="E347" s="101"/>
      <c r="F347" s="126"/>
      <c r="G347" s="126"/>
      <c r="H347" s="123"/>
      <c r="I347" s="123"/>
      <c r="J347" s="50"/>
    </row>
    <row r="348" spans="2:10" ht="13.5">
      <c r="B348" s="1"/>
      <c r="C348" s="2"/>
      <c r="E348" s="101"/>
      <c r="F348" s="126"/>
      <c r="G348" s="2" t="s">
        <v>3</v>
      </c>
      <c r="H348" s="123"/>
      <c r="I348" s="123"/>
      <c r="J348" s="50"/>
    </row>
    <row r="349" spans="2:10" ht="13.5">
      <c r="B349" s="1"/>
      <c r="C349" s="2"/>
      <c r="E349" s="101"/>
      <c r="F349" s="126"/>
      <c r="G349" s="126"/>
      <c r="H349" s="123"/>
      <c r="I349" s="123"/>
      <c r="J349" s="50"/>
    </row>
    <row r="350" spans="2:10" ht="13.5">
      <c r="B350" s="1"/>
      <c r="C350" s="2"/>
      <c r="E350" s="101"/>
      <c r="F350" s="126"/>
      <c r="G350" s="126"/>
      <c r="H350" s="123"/>
      <c r="I350" s="123"/>
      <c r="J350" s="50"/>
    </row>
    <row r="351" spans="2:10" ht="13.5">
      <c r="B351" s="1"/>
      <c r="C351" s="2"/>
      <c r="E351" s="101"/>
      <c r="F351" s="126"/>
      <c r="G351" s="126"/>
      <c r="H351" s="123"/>
      <c r="I351" s="123"/>
      <c r="J351" s="50"/>
    </row>
    <row r="352" spans="2:10" ht="13.5">
      <c r="B352" s="1"/>
      <c r="C352" s="2"/>
      <c r="E352" s="101"/>
      <c r="F352" s="126"/>
      <c r="G352" s="126"/>
      <c r="H352" s="123"/>
      <c r="I352" s="123"/>
      <c r="J352" s="50"/>
    </row>
    <row r="353" spans="2:10" ht="13.5">
      <c r="B353" s="1"/>
      <c r="C353" s="2"/>
      <c r="E353" s="101"/>
      <c r="F353" s="126"/>
      <c r="G353" s="126"/>
      <c r="H353" s="123"/>
      <c r="I353" s="123"/>
      <c r="J353" s="50"/>
    </row>
    <row r="354" spans="2:10" ht="13.5">
      <c r="B354" s="1"/>
      <c r="C354" s="2"/>
      <c r="E354" s="101"/>
      <c r="F354" s="126"/>
      <c r="G354" s="126"/>
      <c r="H354" s="123"/>
      <c r="I354" s="123"/>
      <c r="J354" s="50"/>
    </row>
    <row r="355" spans="2:10" ht="13.5">
      <c r="B355" s="1"/>
      <c r="C355" s="2"/>
      <c r="E355" s="101"/>
      <c r="F355" s="126"/>
      <c r="G355" s="126"/>
      <c r="H355" s="123"/>
      <c r="I355" s="123"/>
      <c r="J355" s="50"/>
    </row>
    <row r="356" spans="2:10" ht="13.5">
      <c r="B356" s="1"/>
      <c r="C356" s="2"/>
      <c r="E356" s="101"/>
      <c r="F356" s="126"/>
      <c r="G356" s="126"/>
      <c r="H356" s="123"/>
      <c r="I356" s="123"/>
      <c r="J356" s="50"/>
    </row>
    <row r="357" spans="2:10" ht="13.5">
      <c r="B357" s="1"/>
      <c r="C357" s="2"/>
      <c r="E357" s="101"/>
      <c r="F357" s="126"/>
      <c r="G357" s="126"/>
      <c r="H357" s="123"/>
      <c r="I357" s="123"/>
      <c r="J357" s="50"/>
    </row>
    <row r="358" spans="2:10" ht="13.5">
      <c r="B358" s="1"/>
      <c r="C358" s="2"/>
      <c r="E358" s="101"/>
      <c r="F358" s="126"/>
      <c r="G358" s="126"/>
      <c r="H358" s="123"/>
      <c r="I358" s="123"/>
      <c r="J358" s="50"/>
    </row>
    <row r="359" spans="2:10" ht="13.5">
      <c r="B359" s="1"/>
      <c r="C359" s="2"/>
      <c r="E359" s="101"/>
      <c r="F359" s="126"/>
      <c r="G359" s="126"/>
      <c r="H359" s="123"/>
      <c r="I359" s="123"/>
      <c r="J359" s="50"/>
    </row>
    <row r="360" spans="2:10" ht="13.5">
      <c r="B360" s="1"/>
      <c r="C360" s="2"/>
      <c r="E360" s="101"/>
      <c r="F360" s="126"/>
      <c r="G360" s="126"/>
      <c r="H360" s="123"/>
      <c r="I360" s="123"/>
      <c r="J360" s="50"/>
    </row>
    <row r="361" spans="2:10" ht="13.5">
      <c r="B361" s="1"/>
      <c r="C361" s="2"/>
      <c r="E361" s="101"/>
      <c r="F361" s="126"/>
      <c r="G361" s="126"/>
      <c r="H361" s="123"/>
      <c r="I361" s="123"/>
      <c r="J361" s="50"/>
    </row>
    <row r="362" spans="2:3" ht="13.5">
      <c r="B362" s="1"/>
      <c r="C362" s="1" t="s">
        <v>66</v>
      </c>
    </row>
    <row r="363" spans="2:3" ht="13.5">
      <c r="B363" s="1"/>
      <c r="C363" s="1" t="s">
        <v>69</v>
      </c>
    </row>
    <row r="364" spans="2:3" ht="15" thickBot="1">
      <c r="B364" s="1"/>
      <c r="C364" s="1" t="s">
        <v>70</v>
      </c>
    </row>
    <row r="365" spans="2:11" ht="15" thickBot="1">
      <c r="B365" s="1"/>
      <c r="C365" s="2"/>
      <c r="D365" s="10"/>
      <c r="E365" s="54"/>
      <c r="F365" s="138" t="s">
        <v>67</v>
      </c>
      <c r="G365" s="139">
        <f>(0.5)*(E305-E306)*(E308)</f>
        <v>110.45</v>
      </c>
      <c r="H365" s="44" t="s">
        <v>72</v>
      </c>
      <c r="I365" s="141">
        <f>E305</f>
        <v>10</v>
      </c>
      <c r="J365" s="142">
        <f>E306</f>
        <v>0.6</v>
      </c>
      <c r="K365" s="143">
        <f>E308</f>
        <v>23.5</v>
      </c>
    </row>
    <row r="366" spans="2:11" ht="15" thickBot="1">
      <c r="B366" s="1"/>
      <c r="C366" s="2"/>
      <c r="D366" s="21"/>
      <c r="E366" s="32"/>
      <c r="F366" s="136" t="s">
        <v>68</v>
      </c>
      <c r="G366" s="137">
        <f>(0.5)*(E308-F317)*(F322)</f>
        <v>27.6125</v>
      </c>
      <c r="H366" s="44" t="s">
        <v>73</v>
      </c>
      <c r="I366" s="141">
        <f>E308</f>
        <v>23.5</v>
      </c>
      <c r="J366" s="142">
        <f>F317</f>
        <v>11.75</v>
      </c>
      <c r="K366" s="143">
        <f>F322</f>
        <v>4.7</v>
      </c>
    </row>
    <row r="367" spans="2:10" ht="15" thickBot="1">
      <c r="B367" s="1"/>
      <c r="C367" s="2"/>
      <c r="D367" s="21"/>
      <c r="E367" s="32"/>
      <c r="F367" s="136" t="s">
        <v>75</v>
      </c>
      <c r="G367" s="137">
        <f>F323</f>
        <v>55.225</v>
      </c>
      <c r="H367" s="1" t="s">
        <v>74</v>
      </c>
      <c r="I367" s="144">
        <f>F322</f>
        <v>4.7</v>
      </c>
      <c r="J367" s="145">
        <f>F327</f>
        <v>11</v>
      </c>
    </row>
    <row r="368" spans="2:8" ht="15" thickBot="1">
      <c r="B368" s="1"/>
      <c r="C368" s="2"/>
      <c r="D368" s="21"/>
      <c r="E368" s="32"/>
      <c r="F368" s="136" t="s">
        <v>71</v>
      </c>
      <c r="G368" s="140">
        <f>G366/G367</f>
        <v>0.5</v>
      </c>
      <c r="H368" s="81" t="s">
        <v>76</v>
      </c>
    </row>
    <row r="369" spans="2:4" ht="13.5">
      <c r="B369" s="1"/>
      <c r="C369" s="81" t="s">
        <v>77</v>
      </c>
      <c r="D369" s="81"/>
    </row>
    <row r="370" spans="2:4" ht="13.5">
      <c r="B370" s="1"/>
      <c r="C370" s="81" t="s">
        <v>78</v>
      </c>
      <c r="D370" s="81"/>
    </row>
    <row r="371" spans="2:3" ht="13.5">
      <c r="B371" s="1"/>
      <c r="C371" s="81" t="s">
        <v>79</v>
      </c>
    </row>
    <row r="372" spans="2:10" ht="13.5">
      <c r="B372" s="1"/>
      <c r="C372" s="81"/>
      <c r="E372" s="101"/>
      <c r="F372" s="126"/>
      <c r="G372" s="126"/>
      <c r="H372" s="123"/>
      <c r="I372" s="123"/>
      <c r="J372" s="50"/>
    </row>
    <row r="373" spans="2:10" ht="13.5">
      <c r="B373" s="1"/>
      <c r="C373" s="81"/>
      <c r="E373" s="101"/>
      <c r="F373" s="126"/>
      <c r="G373" s="126"/>
      <c r="H373" s="123"/>
      <c r="I373" s="123"/>
      <c r="J373" s="50"/>
    </row>
    <row r="374" spans="2:10" ht="13.5">
      <c r="B374" s="1"/>
      <c r="C374" s="81"/>
      <c r="E374" s="101"/>
      <c r="F374" s="126"/>
      <c r="G374" s="126"/>
      <c r="H374" s="123"/>
      <c r="I374" s="123"/>
      <c r="J374" s="50"/>
    </row>
    <row r="375" spans="2:10" ht="13.5">
      <c r="B375" s="1"/>
      <c r="C375" s="81"/>
      <c r="E375" s="101"/>
      <c r="F375" s="126"/>
      <c r="G375" s="126"/>
      <c r="H375" s="123"/>
      <c r="I375" s="123"/>
      <c r="J375" s="50"/>
    </row>
    <row r="376" spans="2:10" ht="0.75" customHeight="1">
      <c r="B376" s="1"/>
      <c r="C376" s="2"/>
      <c r="D376" s="127">
        <f>E308</f>
        <v>23.5</v>
      </c>
      <c r="E376" s="135" t="s">
        <v>4</v>
      </c>
      <c r="F376" s="131"/>
      <c r="G376" s="131"/>
      <c r="H376" s="123"/>
      <c r="I376" s="123" t="s">
        <v>2</v>
      </c>
      <c r="J376" s="131">
        <f>$F$322</f>
        <v>4.7</v>
      </c>
    </row>
    <row r="377" spans="2:10" ht="0.75" customHeight="1">
      <c r="B377" s="1"/>
      <c r="C377" s="2"/>
      <c r="D377" s="127">
        <f>D376^(0.2)</f>
        <v>1.8802412333654306</v>
      </c>
      <c r="E377" s="135" t="s">
        <v>55</v>
      </c>
      <c r="F377" s="131"/>
      <c r="G377" s="131"/>
      <c r="H377" s="123"/>
      <c r="I377" s="123"/>
      <c r="J377" s="50"/>
    </row>
    <row r="378" spans="2:11" ht="0.75" customHeight="1">
      <c r="B378" s="1"/>
      <c r="C378" s="2"/>
      <c r="D378" s="132" t="s">
        <v>181</v>
      </c>
      <c r="E378" s="131" t="s">
        <v>38</v>
      </c>
      <c r="F378" s="131" t="s">
        <v>188</v>
      </c>
      <c r="G378" s="169" t="s">
        <v>37</v>
      </c>
      <c r="H378" s="173" t="s">
        <v>181</v>
      </c>
      <c r="I378" s="170" t="s">
        <v>64</v>
      </c>
      <c r="J378" s="171" t="s">
        <v>65</v>
      </c>
      <c r="K378" s="172" t="s">
        <v>1</v>
      </c>
    </row>
    <row r="379" spans="2:11" ht="0.75" customHeight="1">
      <c r="B379" s="1"/>
      <c r="C379" s="2"/>
      <c r="D379" s="129">
        <v>1</v>
      </c>
      <c r="E379" s="124">
        <f>$E$305*D379+$F$305*(D379)^2</f>
        <v>9.8</v>
      </c>
      <c r="F379" s="124">
        <f>D379*G379</f>
        <v>9</v>
      </c>
      <c r="G379" s="100">
        <f>I379-J379</f>
        <v>9</v>
      </c>
      <c r="H379" s="129">
        <f>D379</f>
        <v>1</v>
      </c>
      <c r="I379" s="127">
        <f>$E$305+$F$305*D379</f>
        <v>9.8</v>
      </c>
      <c r="J379" s="130">
        <f>$E$306+$F$306*D379</f>
        <v>0.8</v>
      </c>
      <c r="K379" s="128">
        <f>J379+$J$376</f>
        <v>5.5</v>
      </c>
    </row>
    <row r="380" spans="2:11" ht="0.75" customHeight="1">
      <c r="B380" s="1"/>
      <c r="C380" s="2"/>
      <c r="D380" s="129">
        <f>D379+$D$377</f>
        <v>2.880241233365431</v>
      </c>
      <c r="E380" s="124">
        <f aca="true" t="shared" si="2" ref="E380:E430">$E$305*D380+$F$305*(D380)^2</f>
        <v>27.143254421178625</v>
      </c>
      <c r="F380" s="124">
        <f aca="true" t="shared" si="3" ref="F380:F430">D380*G380</f>
        <v>23.75595176868368</v>
      </c>
      <c r="G380" s="100">
        <f aca="true" t="shared" si="4" ref="G380:G430">I380-J380</f>
        <v>8.247903506653827</v>
      </c>
      <c r="H380" s="129">
        <f aca="true" t="shared" si="5" ref="H380:H430">D380</f>
        <v>2.880241233365431</v>
      </c>
      <c r="I380" s="127">
        <f>IF(D380&gt;0,$E$305+$F$305*D380,0)</f>
        <v>9.423951753326914</v>
      </c>
      <c r="J380" s="130">
        <f>IF(D380&gt;0,$E$306+$F$306*D380,0)</f>
        <v>1.1760482466730862</v>
      </c>
      <c r="K380" s="128">
        <f>IF(H380&gt;0,J380+$J$376,0)</f>
        <v>5.876048246673086</v>
      </c>
    </row>
    <row r="381" spans="1:11" ht="0.75" customHeight="1">
      <c r="A381"/>
      <c r="B381" s="1"/>
      <c r="C381" s="2"/>
      <c r="D381" s="129">
        <f>IF(MAX($D$379:D380)&gt;$D$376-$D$377,0,D380+$D$377)</f>
        <v>4.760482466730862</v>
      </c>
      <c r="E381" s="124">
        <f t="shared" si="2"/>
        <v>43.07238600409823</v>
      </c>
      <c r="F381" s="124">
        <f t="shared" si="3"/>
        <v>35.68365786084932</v>
      </c>
      <c r="G381" s="100">
        <f t="shared" si="4"/>
        <v>7.4958070133076555</v>
      </c>
      <c r="H381" s="129">
        <f t="shared" si="5"/>
        <v>4.760482466730862</v>
      </c>
      <c r="I381" s="127">
        <f aca="true" t="shared" si="6" ref="I381:I430">IF(D381&gt;0,$E$305+$F$305*D381,0)</f>
        <v>9.047903506653828</v>
      </c>
      <c r="J381" s="130">
        <f aca="true" t="shared" si="7" ref="J381:J430">IF(D381&gt;0,$E$306+$F$306*D381,0)</f>
        <v>1.5520964933461725</v>
      </c>
      <c r="K381" s="128">
        <f>IF(H381&gt;0,J381+$J$376,0)</f>
        <v>6.252096493346173</v>
      </c>
    </row>
    <row r="382" spans="1:11" ht="0.75" customHeight="1">
      <c r="A382"/>
      <c r="B382" s="1"/>
      <c r="C382" s="2"/>
      <c r="D382" s="129">
        <f>IF(MAX($D$379:D381)&gt;$D$376-$D$377,0,D381+$D$377)</f>
        <v>6.640723700096292</v>
      </c>
      <c r="E382" s="124">
        <f t="shared" si="2"/>
        <v>57.587394748758804</v>
      </c>
      <c r="F382" s="124">
        <f t="shared" si="3"/>
        <v>44.783118276496914</v>
      </c>
      <c r="G382" s="100">
        <f t="shared" si="4"/>
        <v>6.743710519961484</v>
      </c>
      <c r="H382" s="129">
        <f t="shared" si="5"/>
        <v>6.640723700096292</v>
      </c>
      <c r="I382" s="127">
        <f t="shared" si="6"/>
        <v>8.671855259980742</v>
      </c>
      <c r="J382" s="130">
        <f t="shared" si="7"/>
        <v>1.9281447400192584</v>
      </c>
      <c r="K382" s="128">
        <f>IF(H382&gt;0,J382+$J$376,0)</f>
        <v>6.628144740019259</v>
      </c>
    </row>
    <row r="383" spans="1:11" ht="0.75" customHeight="1">
      <c r="A383"/>
      <c r="B383" s="1"/>
      <c r="C383" s="2"/>
      <c r="D383" s="129">
        <f>IF(MAX($D$379:D382)&gt;$D$376-$D$377,0,D382+$D$377)</f>
        <v>8.520964933461723</v>
      </c>
      <c r="E383" s="124">
        <f t="shared" si="2"/>
        <v>70.68828065516037</v>
      </c>
      <c r="F383" s="124">
        <f t="shared" si="3"/>
        <v>51.05433301562646</v>
      </c>
      <c r="G383" s="100">
        <f t="shared" si="4"/>
        <v>5.991614026615311</v>
      </c>
      <c r="H383" s="129">
        <f t="shared" si="5"/>
        <v>8.520964933461723</v>
      </c>
      <c r="I383" s="127">
        <f t="shared" si="6"/>
        <v>8.295807013307655</v>
      </c>
      <c r="J383" s="130">
        <f t="shared" si="7"/>
        <v>2.3041929866923447</v>
      </c>
      <c r="K383" s="128">
        <f>IF(H383&gt;0,J383+$J$376,0)</f>
        <v>7.004192986692345</v>
      </c>
    </row>
    <row r="384" spans="2:11" ht="0.75" customHeight="1">
      <c r="B384" s="1"/>
      <c r="C384" s="2"/>
      <c r="D384" s="129">
        <f>IF(MAX($D$379:D383)&gt;$D$376-$D$377,0,D383+$D$377)</f>
        <v>10.401206166827153</v>
      </c>
      <c r="E384" s="124">
        <f t="shared" si="2"/>
        <v>82.3750437233029</v>
      </c>
      <c r="F384" s="124">
        <f t="shared" si="3"/>
        <v>54.49730207823796</v>
      </c>
      <c r="G384" s="100">
        <f t="shared" si="4"/>
        <v>5.239517533269138</v>
      </c>
      <c r="H384" s="129">
        <f t="shared" si="5"/>
        <v>10.401206166827153</v>
      </c>
      <c r="I384" s="127">
        <f t="shared" si="6"/>
        <v>7.919758766634569</v>
      </c>
      <c r="J384" s="130">
        <f t="shared" si="7"/>
        <v>2.6802412333654306</v>
      </c>
      <c r="K384" s="128">
        <f>IF(H384&gt;0,J384+$J$376,0)</f>
        <v>7.380241233365431</v>
      </c>
    </row>
    <row r="385" spans="2:11" ht="0.75" customHeight="1">
      <c r="B385" s="1"/>
      <c r="C385" s="2"/>
      <c r="D385" s="129">
        <f>IF(MAX($D$379:D384)&gt;$D$376-$D$377,0,D384+$D$377)</f>
        <v>12.281447400192583</v>
      </c>
      <c r="E385" s="124">
        <f t="shared" si="2"/>
        <v>92.6476839531864</v>
      </c>
      <c r="F385" s="124">
        <f t="shared" si="3"/>
        <v>55.1120254643314</v>
      </c>
      <c r="G385" s="100">
        <f t="shared" si="4"/>
        <v>4.487421039922966</v>
      </c>
      <c r="H385" s="129">
        <f t="shared" si="5"/>
        <v>12.281447400192583</v>
      </c>
      <c r="I385" s="127">
        <f t="shared" si="6"/>
        <v>7.543710519961483</v>
      </c>
      <c r="J385" s="130">
        <f t="shared" si="7"/>
        <v>3.056289480038517</v>
      </c>
      <c r="K385" s="128">
        <f>IF(H385&gt;0,J385+$J$376,0)</f>
        <v>7.756289480038517</v>
      </c>
    </row>
    <row r="386" spans="2:11" ht="0.75" customHeight="1">
      <c r="B386" s="1"/>
      <c r="C386" s="2"/>
      <c r="D386" s="129">
        <f>IF(MAX($D$379:D385)&gt;$D$376-$D$377,0,D385+$D$377)</f>
        <v>14.161688633558013</v>
      </c>
      <c r="E386" s="124">
        <f t="shared" si="2"/>
        <v>101.50620134481088</v>
      </c>
      <c r="F386" s="124">
        <f t="shared" si="3"/>
        <v>52.898503173906825</v>
      </c>
      <c r="G386" s="100">
        <f t="shared" si="4"/>
        <v>3.7353245465767944</v>
      </c>
      <c r="H386" s="129">
        <f t="shared" si="5"/>
        <v>14.161688633558013</v>
      </c>
      <c r="I386" s="127">
        <f t="shared" si="6"/>
        <v>7.167662273288397</v>
      </c>
      <c r="J386" s="130">
        <f t="shared" si="7"/>
        <v>3.432337726711603</v>
      </c>
      <c r="K386" s="128">
        <f>IF(H386&gt;0,J386+$J$376,0)</f>
        <v>8.132337726711603</v>
      </c>
    </row>
    <row r="387" spans="2:11" ht="0.75" customHeight="1">
      <c r="B387" s="1"/>
      <c r="C387" s="2"/>
      <c r="D387" s="129">
        <f>IF(MAX($D$379:D386)&gt;$D$376-$D$377,0,D386+$D$377)</f>
        <v>16.041929866923443</v>
      </c>
      <c r="E387" s="124">
        <f t="shared" si="2"/>
        <v>108.95059589817635</v>
      </c>
      <c r="F387" s="124">
        <f t="shared" si="3"/>
        <v>47.85673520696421</v>
      </c>
      <c r="G387" s="100">
        <f t="shared" si="4"/>
        <v>2.983228053230623</v>
      </c>
      <c r="H387" s="129">
        <f t="shared" si="5"/>
        <v>16.041929866923443</v>
      </c>
      <c r="I387" s="127">
        <f t="shared" si="6"/>
        <v>6.791614026615312</v>
      </c>
      <c r="J387" s="130">
        <f t="shared" si="7"/>
        <v>3.8083859733846888</v>
      </c>
      <c r="K387" s="128">
        <f>IF(H387&gt;0,J387+$J$376,0)</f>
        <v>8.508385973384689</v>
      </c>
    </row>
    <row r="388" spans="2:11" ht="0.75" customHeight="1">
      <c r="B388" s="1"/>
      <c r="C388" s="2"/>
      <c r="D388" s="129">
        <f>IF(MAX($D$379:D387)&gt;$D$376-$D$377,0,D387+$D$377)</f>
        <v>17.922171100288875</v>
      </c>
      <c r="E388" s="124">
        <f t="shared" si="2"/>
        <v>114.9808676132828</v>
      </c>
      <c r="F388" s="124">
        <f t="shared" si="3"/>
        <v>39.98672156350353</v>
      </c>
      <c r="G388" s="100">
        <f t="shared" si="4"/>
        <v>2.2311315598844503</v>
      </c>
      <c r="H388" s="129">
        <f t="shared" si="5"/>
        <v>17.922171100288875</v>
      </c>
      <c r="I388" s="127">
        <f t="shared" si="6"/>
        <v>6.415565779942225</v>
      </c>
      <c r="J388" s="130">
        <f t="shared" si="7"/>
        <v>4.184434220057775</v>
      </c>
      <c r="K388" s="128">
        <f>IF(H388&gt;0,J388+$J$376,0)</f>
        <v>8.884434220057775</v>
      </c>
    </row>
    <row r="389" spans="2:11" ht="0.75" customHeight="1">
      <c r="B389" s="1"/>
      <c r="C389" s="2"/>
      <c r="D389" s="129">
        <f>IF(MAX($D$379:D388)&gt;$D$376-$D$377,0,D388+$D$377)</f>
        <v>19.802412333654306</v>
      </c>
      <c r="E389" s="124">
        <f t="shared" si="2"/>
        <v>119.59701649013022</v>
      </c>
      <c r="F389" s="124">
        <f t="shared" si="3"/>
        <v>29.28846224352481</v>
      </c>
      <c r="G389" s="100">
        <f t="shared" si="4"/>
        <v>1.4790350665382777</v>
      </c>
      <c r="H389" s="129">
        <f t="shared" si="5"/>
        <v>19.802412333654306</v>
      </c>
      <c r="I389" s="127">
        <f t="shared" si="6"/>
        <v>6.039517533269139</v>
      </c>
      <c r="J389" s="130">
        <f t="shared" si="7"/>
        <v>4.560482466730861</v>
      </c>
      <c r="K389" s="128">
        <f>IF(H389&gt;0,J389+$J$376,0)</f>
        <v>9.260482466730862</v>
      </c>
    </row>
    <row r="390" spans="2:11" ht="0.75" customHeight="1">
      <c r="B390" s="1"/>
      <c r="C390" s="2"/>
      <c r="D390" s="129">
        <f>IF(MAX($D$379:D389)&gt;$D$376-$D$377,0,D389+$D$377)</f>
        <v>21.682653567019738</v>
      </c>
      <c r="E390" s="124">
        <f t="shared" si="2"/>
        <v>122.79904252871863</v>
      </c>
      <c r="F390" s="124">
        <f t="shared" si="3"/>
        <v>15.761957247028015</v>
      </c>
      <c r="G390" s="100">
        <f t="shared" si="4"/>
        <v>0.7269385731921041</v>
      </c>
      <c r="H390" s="129">
        <f t="shared" si="5"/>
        <v>21.682653567019738</v>
      </c>
      <c r="I390" s="127">
        <f t="shared" si="6"/>
        <v>5.663469286596052</v>
      </c>
      <c r="J390" s="130">
        <f t="shared" si="7"/>
        <v>4.936530713403948</v>
      </c>
      <c r="K390" s="128">
        <f>IF(H390&gt;0,J390+$J$376,0)</f>
        <v>9.636530713403948</v>
      </c>
    </row>
    <row r="391" spans="2:11" ht="0.75" customHeight="1">
      <c r="B391" s="1"/>
      <c r="C391" s="2"/>
      <c r="D391" s="129">
        <f>IF(MAX($D$379:D390)&gt;$D$376-$D$377,0,D390+$D$377)</f>
        <v>0</v>
      </c>
      <c r="E391" s="124">
        <f t="shared" si="2"/>
        <v>0</v>
      </c>
      <c r="F391" s="124">
        <f t="shared" si="3"/>
        <v>0</v>
      </c>
      <c r="G391" s="100">
        <f t="shared" si="4"/>
        <v>0</v>
      </c>
      <c r="H391" s="129">
        <f t="shared" si="5"/>
        <v>0</v>
      </c>
      <c r="I391" s="127">
        <f t="shared" si="6"/>
        <v>0</v>
      </c>
      <c r="J391" s="130">
        <f t="shared" si="7"/>
        <v>0</v>
      </c>
      <c r="K391" s="128">
        <f>IF(H391&gt;0,J391+$J$376,0)</f>
        <v>0</v>
      </c>
    </row>
    <row r="392" spans="2:11" ht="0.75" customHeight="1">
      <c r="B392" s="1"/>
      <c r="C392" s="2"/>
      <c r="D392" s="129">
        <f>IF(MAX($D$379:D391)&gt;$D$376-$D$377,0,D391+$D$377)</f>
        <v>0</v>
      </c>
      <c r="E392" s="124">
        <f t="shared" si="2"/>
        <v>0</v>
      </c>
      <c r="F392" s="124">
        <f t="shared" si="3"/>
        <v>0</v>
      </c>
      <c r="G392" s="100">
        <f t="shared" si="4"/>
        <v>0</v>
      </c>
      <c r="H392" s="129">
        <f t="shared" si="5"/>
        <v>0</v>
      </c>
      <c r="I392" s="127">
        <f t="shared" si="6"/>
        <v>0</v>
      </c>
      <c r="J392" s="130">
        <f t="shared" si="7"/>
        <v>0</v>
      </c>
      <c r="K392" s="128">
        <f>IF(H392&gt;0,J392+$J$376,0)</f>
        <v>0</v>
      </c>
    </row>
    <row r="393" spans="2:11" ht="0.75" customHeight="1">
      <c r="B393" s="1"/>
      <c r="C393" s="2"/>
      <c r="D393" s="129">
        <f>IF(MAX($D$379:D392)&gt;$D$376-$D$377,0,D392+$D$377)</f>
        <v>0</v>
      </c>
      <c r="E393" s="124">
        <f t="shared" si="2"/>
        <v>0</v>
      </c>
      <c r="F393" s="124">
        <f t="shared" si="3"/>
        <v>0</v>
      </c>
      <c r="G393" s="100">
        <f t="shared" si="4"/>
        <v>0</v>
      </c>
      <c r="H393" s="129">
        <f t="shared" si="5"/>
        <v>0</v>
      </c>
      <c r="I393" s="127">
        <f t="shared" si="6"/>
        <v>0</v>
      </c>
      <c r="J393" s="130">
        <f t="shared" si="7"/>
        <v>0</v>
      </c>
      <c r="K393" s="128">
        <f>IF(H393&gt;0,J393+$J$376,0)</f>
        <v>0</v>
      </c>
    </row>
    <row r="394" spans="2:11" ht="0.75" customHeight="1">
      <c r="B394" s="1"/>
      <c r="C394" s="2"/>
      <c r="D394" s="129">
        <f>IF(MAX($D$379:D393)&gt;$D$376-$D$377,0,D393+$D$377)</f>
        <v>0</v>
      </c>
      <c r="E394" s="124">
        <f t="shared" si="2"/>
        <v>0</v>
      </c>
      <c r="F394" s="124">
        <f t="shared" si="3"/>
        <v>0</v>
      </c>
      <c r="G394" s="100">
        <f t="shared" si="4"/>
        <v>0</v>
      </c>
      <c r="H394" s="129">
        <f t="shared" si="5"/>
        <v>0</v>
      </c>
      <c r="I394" s="127">
        <f t="shared" si="6"/>
        <v>0</v>
      </c>
      <c r="J394" s="130">
        <f t="shared" si="7"/>
        <v>0</v>
      </c>
      <c r="K394" s="128">
        <f>IF(H394&gt;0,J394+$J$376,0)</f>
        <v>0</v>
      </c>
    </row>
    <row r="395" spans="2:11" ht="0.75" customHeight="1">
      <c r="B395" s="1"/>
      <c r="C395" s="2"/>
      <c r="D395" s="129">
        <f>IF(MAX($D$379:D394)&gt;$D$376-$D$377,0,D394+$D$377)</f>
        <v>0</v>
      </c>
      <c r="E395" s="124">
        <f t="shared" si="2"/>
        <v>0</v>
      </c>
      <c r="F395" s="124">
        <f t="shared" si="3"/>
        <v>0</v>
      </c>
      <c r="G395" s="100">
        <f t="shared" si="4"/>
        <v>0</v>
      </c>
      <c r="H395" s="129">
        <f t="shared" si="5"/>
        <v>0</v>
      </c>
      <c r="I395" s="127">
        <f t="shared" si="6"/>
        <v>0</v>
      </c>
      <c r="J395" s="130">
        <f t="shared" si="7"/>
        <v>0</v>
      </c>
      <c r="K395" s="128">
        <f>IF(H395&gt;0,J395+$J$376,0)</f>
        <v>0</v>
      </c>
    </row>
    <row r="396" spans="2:11" ht="0.75" customHeight="1">
      <c r="B396" s="1"/>
      <c r="C396" s="2"/>
      <c r="D396" s="129">
        <f>IF(MAX($D$379:D395)&gt;$D$376-$D$377,0,D395+$D$377)</f>
        <v>0</v>
      </c>
      <c r="E396" s="124">
        <f t="shared" si="2"/>
        <v>0</v>
      </c>
      <c r="F396" s="124">
        <f t="shared" si="3"/>
        <v>0</v>
      </c>
      <c r="G396" s="100">
        <f t="shared" si="4"/>
        <v>0</v>
      </c>
      <c r="H396" s="129">
        <f t="shared" si="5"/>
        <v>0</v>
      </c>
      <c r="I396" s="127">
        <f t="shared" si="6"/>
        <v>0</v>
      </c>
      <c r="J396" s="130">
        <f t="shared" si="7"/>
        <v>0</v>
      </c>
      <c r="K396" s="128">
        <f>IF(H396&gt;0,J396+$J$376,0)</f>
        <v>0</v>
      </c>
    </row>
    <row r="397" spans="2:11" ht="0.75" customHeight="1">
      <c r="B397" s="1"/>
      <c r="C397" s="2"/>
      <c r="D397" s="129">
        <f>IF(MAX($D$379:D396)&gt;$D$376-$D$377,0,D396+$D$377)</f>
        <v>0</v>
      </c>
      <c r="E397" s="124">
        <f t="shared" si="2"/>
        <v>0</v>
      </c>
      <c r="F397" s="124">
        <f t="shared" si="3"/>
        <v>0</v>
      </c>
      <c r="G397" s="100">
        <f t="shared" si="4"/>
        <v>0</v>
      </c>
      <c r="H397" s="129">
        <f t="shared" si="5"/>
        <v>0</v>
      </c>
      <c r="I397" s="127">
        <f t="shared" si="6"/>
        <v>0</v>
      </c>
      <c r="J397" s="130">
        <f t="shared" si="7"/>
        <v>0</v>
      </c>
      <c r="K397" s="128">
        <f>IF(H397&gt;0,J397+$J$376,0)</f>
        <v>0</v>
      </c>
    </row>
    <row r="398" spans="2:11" ht="0.75" customHeight="1">
      <c r="B398" s="1"/>
      <c r="C398" s="2"/>
      <c r="D398" s="129">
        <f>IF(MAX($D$379:D397)&gt;$D$376-$D$377,0,D397+$D$377)</f>
        <v>0</v>
      </c>
      <c r="E398" s="124">
        <f t="shared" si="2"/>
        <v>0</v>
      </c>
      <c r="F398" s="124">
        <f t="shared" si="3"/>
        <v>0</v>
      </c>
      <c r="G398" s="100">
        <f t="shared" si="4"/>
        <v>0</v>
      </c>
      <c r="H398" s="129">
        <f t="shared" si="5"/>
        <v>0</v>
      </c>
      <c r="I398" s="127">
        <f t="shared" si="6"/>
        <v>0</v>
      </c>
      <c r="J398" s="130">
        <f t="shared" si="7"/>
        <v>0</v>
      </c>
      <c r="K398" s="128">
        <f>IF(H398&gt;0,J398+$J$376,0)</f>
        <v>0</v>
      </c>
    </row>
    <row r="399" spans="2:11" ht="0.75" customHeight="1">
      <c r="B399" s="1"/>
      <c r="C399" s="2"/>
      <c r="D399" s="129">
        <f>IF(MAX($D$379:D398)&gt;$D$376-$D$377,0,D398+$D$377)</f>
        <v>0</v>
      </c>
      <c r="E399" s="124">
        <f t="shared" si="2"/>
        <v>0</v>
      </c>
      <c r="F399" s="124">
        <f t="shared" si="3"/>
        <v>0</v>
      </c>
      <c r="G399" s="100">
        <f t="shared" si="4"/>
        <v>0</v>
      </c>
      <c r="H399" s="129">
        <f t="shared" si="5"/>
        <v>0</v>
      </c>
      <c r="I399" s="127">
        <f t="shared" si="6"/>
        <v>0</v>
      </c>
      <c r="J399" s="130">
        <f t="shared" si="7"/>
        <v>0</v>
      </c>
      <c r="K399" s="128">
        <f>IF(H399&gt;0,J399+$J$376,0)</f>
        <v>0</v>
      </c>
    </row>
    <row r="400" spans="2:11" ht="0.75" customHeight="1">
      <c r="B400" s="1"/>
      <c r="C400" s="2"/>
      <c r="D400" s="129">
        <f>IF(MAX($D$379:D399)&gt;$D$376-$D$377,0,D399+$D$377)</f>
        <v>0</v>
      </c>
      <c r="E400" s="124">
        <f t="shared" si="2"/>
        <v>0</v>
      </c>
      <c r="F400" s="124">
        <f t="shared" si="3"/>
        <v>0</v>
      </c>
      <c r="G400" s="100">
        <f t="shared" si="4"/>
        <v>0</v>
      </c>
      <c r="H400" s="129">
        <f t="shared" si="5"/>
        <v>0</v>
      </c>
      <c r="I400" s="127">
        <f t="shared" si="6"/>
        <v>0</v>
      </c>
      <c r="J400" s="130">
        <f t="shared" si="7"/>
        <v>0</v>
      </c>
      <c r="K400" s="128">
        <f>IF(H400&gt;0,J400+$J$376,0)</f>
        <v>0</v>
      </c>
    </row>
    <row r="401" spans="2:11" ht="0.75" customHeight="1">
      <c r="B401" s="1"/>
      <c r="C401" s="2"/>
      <c r="D401" s="129">
        <f>IF(MAX($D$379:D400)&gt;$D$376-$D$377,0,D400+$D$377)</f>
        <v>0</v>
      </c>
      <c r="E401" s="124">
        <f t="shared" si="2"/>
        <v>0</v>
      </c>
      <c r="F401" s="124">
        <f t="shared" si="3"/>
        <v>0</v>
      </c>
      <c r="G401" s="100">
        <f t="shared" si="4"/>
        <v>0</v>
      </c>
      <c r="H401" s="129">
        <f t="shared" si="5"/>
        <v>0</v>
      </c>
      <c r="I401" s="127">
        <f t="shared" si="6"/>
        <v>0</v>
      </c>
      <c r="J401" s="130">
        <f t="shared" si="7"/>
        <v>0</v>
      </c>
      <c r="K401" s="128">
        <f>IF(H401&gt;0,J401+$J$376,0)</f>
        <v>0</v>
      </c>
    </row>
    <row r="402" spans="2:11" ht="0.75" customHeight="1">
      <c r="B402" s="1"/>
      <c r="C402" s="2"/>
      <c r="D402" s="129">
        <f>IF(MAX($D$379:D401)&gt;$D$376-$D$377,0,D401+$D$377)</f>
        <v>0</v>
      </c>
      <c r="E402" s="124">
        <f t="shared" si="2"/>
        <v>0</v>
      </c>
      <c r="F402" s="124">
        <f t="shared" si="3"/>
        <v>0</v>
      </c>
      <c r="G402" s="100">
        <f t="shared" si="4"/>
        <v>0</v>
      </c>
      <c r="H402" s="129">
        <f t="shared" si="5"/>
        <v>0</v>
      </c>
      <c r="I402" s="127">
        <f t="shared" si="6"/>
        <v>0</v>
      </c>
      <c r="J402" s="130">
        <f t="shared" si="7"/>
        <v>0</v>
      </c>
      <c r="K402" s="128">
        <f>IF(H402&gt;0,J402+$J$376,0)</f>
        <v>0</v>
      </c>
    </row>
    <row r="403" spans="2:11" ht="0.75" customHeight="1">
      <c r="B403" s="1"/>
      <c r="C403" s="2"/>
      <c r="D403" s="129">
        <f>IF(MAX($D$379:D402)&gt;$D$376-$D$377,0,D402+$D$377)</f>
        <v>0</v>
      </c>
      <c r="E403" s="124">
        <f t="shared" si="2"/>
        <v>0</v>
      </c>
      <c r="F403" s="124">
        <f t="shared" si="3"/>
        <v>0</v>
      </c>
      <c r="G403" s="100">
        <f t="shared" si="4"/>
        <v>0</v>
      </c>
      <c r="H403" s="129">
        <f t="shared" si="5"/>
        <v>0</v>
      </c>
      <c r="I403" s="127">
        <f t="shared" si="6"/>
        <v>0</v>
      </c>
      <c r="J403" s="130">
        <f t="shared" si="7"/>
        <v>0</v>
      </c>
      <c r="K403" s="128">
        <f>IF(H403&gt;0,J403+$J$376,0)</f>
        <v>0</v>
      </c>
    </row>
    <row r="404" spans="2:11" ht="0.75" customHeight="1">
      <c r="B404" s="1"/>
      <c r="C404" s="2"/>
      <c r="D404" s="129">
        <f>IF(MAX($D$379:D403)&gt;$D$376-$D$377,0,D403+$D$377)</f>
        <v>0</v>
      </c>
      <c r="E404" s="124">
        <f t="shared" si="2"/>
        <v>0</v>
      </c>
      <c r="F404" s="124">
        <f t="shared" si="3"/>
        <v>0</v>
      </c>
      <c r="G404" s="100">
        <f t="shared" si="4"/>
        <v>0</v>
      </c>
      <c r="H404" s="129">
        <f t="shared" si="5"/>
        <v>0</v>
      </c>
      <c r="I404" s="127">
        <f t="shared" si="6"/>
        <v>0</v>
      </c>
      <c r="J404" s="130">
        <f t="shared" si="7"/>
        <v>0</v>
      </c>
      <c r="K404" s="128">
        <f>IF(H404&gt;0,J404+$J$376,0)</f>
        <v>0</v>
      </c>
    </row>
    <row r="405" spans="2:11" ht="0.75" customHeight="1">
      <c r="B405" s="1"/>
      <c r="C405" s="2"/>
      <c r="D405" s="129">
        <f>IF(MAX($D$379:D404)&gt;$D$376-$D$377,0,D404+$D$377)</f>
        <v>0</v>
      </c>
      <c r="E405" s="124">
        <f t="shared" si="2"/>
        <v>0</v>
      </c>
      <c r="F405" s="124">
        <f t="shared" si="3"/>
        <v>0</v>
      </c>
      <c r="G405" s="100">
        <f t="shared" si="4"/>
        <v>0</v>
      </c>
      <c r="H405" s="129">
        <f t="shared" si="5"/>
        <v>0</v>
      </c>
      <c r="I405" s="127">
        <f t="shared" si="6"/>
        <v>0</v>
      </c>
      <c r="J405" s="130">
        <f t="shared" si="7"/>
        <v>0</v>
      </c>
      <c r="K405" s="128">
        <f>IF(H405&gt;0,J405+$J$376,0)</f>
        <v>0</v>
      </c>
    </row>
    <row r="406" spans="2:11" ht="0.75" customHeight="1">
      <c r="B406" s="1"/>
      <c r="C406" s="2"/>
      <c r="D406" s="129">
        <f>IF(MAX($D$379:D405)&gt;$D$376-$D$377,0,D405+$D$377)</f>
        <v>0</v>
      </c>
      <c r="E406" s="124">
        <f t="shared" si="2"/>
        <v>0</v>
      </c>
      <c r="F406" s="124">
        <f t="shared" si="3"/>
        <v>0</v>
      </c>
      <c r="G406" s="100">
        <f t="shared" si="4"/>
        <v>0</v>
      </c>
      <c r="H406" s="129">
        <f t="shared" si="5"/>
        <v>0</v>
      </c>
      <c r="I406" s="127">
        <f t="shared" si="6"/>
        <v>0</v>
      </c>
      <c r="J406" s="130">
        <f t="shared" si="7"/>
        <v>0</v>
      </c>
      <c r="K406" s="128">
        <f>IF(H406&gt;0,J406+$J$376,0)</f>
        <v>0</v>
      </c>
    </row>
    <row r="407" spans="2:11" ht="0.75" customHeight="1">
      <c r="B407" s="1"/>
      <c r="C407" s="2"/>
      <c r="D407" s="129">
        <f>IF(MAX($D$379:D406)&gt;$D$376-$D$377,0,D406+$D$377)</f>
        <v>0</v>
      </c>
      <c r="E407" s="124">
        <f t="shared" si="2"/>
        <v>0</v>
      </c>
      <c r="F407" s="124">
        <f t="shared" si="3"/>
        <v>0</v>
      </c>
      <c r="G407" s="100">
        <f t="shared" si="4"/>
        <v>0</v>
      </c>
      <c r="H407" s="129">
        <f t="shared" si="5"/>
        <v>0</v>
      </c>
      <c r="I407" s="127">
        <f t="shared" si="6"/>
        <v>0</v>
      </c>
      <c r="J407" s="130">
        <f t="shared" si="7"/>
        <v>0</v>
      </c>
      <c r="K407" s="128">
        <f>IF(H407&gt;0,J407+$J$376,0)</f>
        <v>0</v>
      </c>
    </row>
    <row r="408" spans="2:11" ht="0.75" customHeight="1">
      <c r="B408" s="1"/>
      <c r="C408" s="2"/>
      <c r="D408" s="129">
        <f>IF(MAX($D$379:D407)&gt;$D$376-$D$377,0,D407+$D$377)</f>
        <v>0</v>
      </c>
      <c r="E408" s="124">
        <f t="shared" si="2"/>
        <v>0</v>
      </c>
      <c r="F408" s="124">
        <f t="shared" si="3"/>
        <v>0</v>
      </c>
      <c r="G408" s="100">
        <f t="shared" si="4"/>
        <v>0</v>
      </c>
      <c r="H408" s="129">
        <f t="shared" si="5"/>
        <v>0</v>
      </c>
      <c r="I408" s="127">
        <f t="shared" si="6"/>
        <v>0</v>
      </c>
      <c r="J408" s="130">
        <f t="shared" si="7"/>
        <v>0</v>
      </c>
      <c r="K408" s="128">
        <f>IF(H408&gt;0,J408+$J$376,0)</f>
        <v>0</v>
      </c>
    </row>
    <row r="409" spans="2:11" ht="0.75" customHeight="1">
      <c r="B409" s="1"/>
      <c r="C409" s="2"/>
      <c r="D409" s="129">
        <f>IF(MAX($D$379:D408)&gt;$D$376-$D$377,0,D408+$D$377)</f>
        <v>0</v>
      </c>
      <c r="E409" s="124">
        <f t="shared" si="2"/>
        <v>0</v>
      </c>
      <c r="F409" s="124">
        <f t="shared" si="3"/>
        <v>0</v>
      </c>
      <c r="G409" s="100">
        <f t="shared" si="4"/>
        <v>0</v>
      </c>
      <c r="H409" s="129">
        <f t="shared" si="5"/>
        <v>0</v>
      </c>
      <c r="I409" s="127">
        <f t="shared" si="6"/>
        <v>0</v>
      </c>
      <c r="J409" s="130">
        <f t="shared" si="7"/>
        <v>0</v>
      </c>
      <c r="K409" s="128">
        <f>IF(H409&gt;0,J409+$J$376,0)</f>
        <v>0</v>
      </c>
    </row>
    <row r="410" spans="2:11" ht="0.75" customHeight="1">
      <c r="B410" s="1"/>
      <c r="C410" s="2"/>
      <c r="D410" s="129">
        <f>IF(MAX($D$379:D409)&gt;$D$376-$D$377,0,D409+$D$377)</f>
        <v>0</v>
      </c>
      <c r="E410" s="124">
        <f t="shared" si="2"/>
        <v>0</v>
      </c>
      <c r="F410" s="124">
        <f t="shared" si="3"/>
        <v>0</v>
      </c>
      <c r="G410" s="100">
        <f t="shared" si="4"/>
        <v>0</v>
      </c>
      <c r="H410" s="129">
        <f t="shared" si="5"/>
        <v>0</v>
      </c>
      <c r="I410" s="127">
        <f t="shared" si="6"/>
        <v>0</v>
      </c>
      <c r="J410" s="130">
        <f t="shared" si="7"/>
        <v>0</v>
      </c>
      <c r="K410" s="128">
        <f>IF(H410&gt;0,J410+$J$376,0)</f>
        <v>0</v>
      </c>
    </row>
    <row r="411" spans="2:11" ht="0.75" customHeight="1">
      <c r="B411" s="1"/>
      <c r="C411" s="2"/>
      <c r="D411" s="129">
        <f>IF(MAX($D$379:D410)&gt;$D$376-$D$377,0,D410+$D$377)</f>
        <v>0</v>
      </c>
      <c r="E411" s="124">
        <f t="shared" si="2"/>
        <v>0</v>
      </c>
      <c r="F411" s="124">
        <f t="shared" si="3"/>
        <v>0</v>
      </c>
      <c r="G411" s="100">
        <f t="shared" si="4"/>
        <v>0</v>
      </c>
      <c r="H411" s="129">
        <f t="shared" si="5"/>
        <v>0</v>
      </c>
      <c r="I411" s="127">
        <f t="shared" si="6"/>
        <v>0</v>
      </c>
      <c r="J411" s="130">
        <f t="shared" si="7"/>
        <v>0</v>
      </c>
      <c r="K411" s="128">
        <f>IF(H411&gt;0,J411+$J$376,0)</f>
        <v>0</v>
      </c>
    </row>
    <row r="412" spans="2:11" ht="0.75" customHeight="1">
      <c r="B412" s="1"/>
      <c r="C412" s="2"/>
      <c r="D412" s="129">
        <f>IF(MAX($D$379:D411)&gt;$D$376-$D$377,0,D411+$D$377)</f>
        <v>0</v>
      </c>
      <c r="E412" s="124">
        <f t="shared" si="2"/>
        <v>0</v>
      </c>
      <c r="F412" s="124">
        <f t="shared" si="3"/>
        <v>0</v>
      </c>
      <c r="G412" s="100">
        <f t="shared" si="4"/>
        <v>0</v>
      </c>
      <c r="H412" s="129">
        <f t="shared" si="5"/>
        <v>0</v>
      </c>
      <c r="I412" s="127">
        <f t="shared" si="6"/>
        <v>0</v>
      </c>
      <c r="J412" s="130">
        <f t="shared" si="7"/>
        <v>0</v>
      </c>
      <c r="K412" s="128">
        <f>IF(H412&gt;0,J412+$J$376,0)</f>
        <v>0</v>
      </c>
    </row>
    <row r="413" spans="2:11" ht="0.75" customHeight="1">
      <c r="B413" s="1"/>
      <c r="C413" s="2"/>
      <c r="D413" s="129">
        <f>IF(MAX($D$379:D412)&gt;$D$376-$D$377,0,D412+$D$377)</f>
        <v>0</v>
      </c>
      <c r="E413" s="124">
        <f t="shared" si="2"/>
        <v>0</v>
      </c>
      <c r="F413" s="124">
        <f t="shared" si="3"/>
        <v>0</v>
      </c>
      <c r="G413" s="100">
        <f t="shared" si="4"/>
        <v>0</v>
      </c>
      <c r="H413" s="129">
        <f t="shared" si="5"/>
        <v>0</v>
      </c>
      <c r="I413" s="127">
        <f t="shared" si="6"/>
        <v>0</v>
      </c>
      <c r="J413" s="130">
        <f t="shared" si="7"/>
        <v>0</v>
      </c>
      <c r="K413" s="128">
        <f>IF(H413&gt;0,J413+$J$376,0)</f>
        <v>0</v>
      </c>
    </row>
    <row r="414" spans="2:11" ht="0.75" customHeight="1">
      <c r="B414" s="1"/>
      <c r="C414" s="2"/>
      <c r="D414" s="129">
        <f>IF(MAX($D$379:D413)&gt;$D$376-$D$377,0,D413+$D$377)</f>
        <v>0</v>
      </c>
      <c r="E414" s="124">
        <f t="shared" si="2"/>
        <v>0</v>
      </c>
      <c r="F414" s="124">
        <f t="shared" si="3"/>
        <v>0</v>
      </c>
      <c r="G414" s="100">
        <f t="shared" si="4"/>
        <v>0</v>
      </c>
      <c r="H414" s="129">
        <f t="shared" si="5"/>
        <v>0</v>
      </c>
      <c r="I414" s="127">
        <f t="shared" si="6"/>
        <v>0</v>
      </c>
      <c r="J414" s="130">
        <f t="shared" si="7"/>
        <v>0</v>
      </c>
      <c r="K414" s="128">
        <f>IF(H414&gt;0,J414+$J$376,0)</f>
        <v>0</v>
      </c>
    </row>
    <row r="415" spans="2:11" ht="0.75" customHeight="1">
      <c r="B415" s="1"/>
      <c r="C415" s="2"/>
      <c r="D415" s="129">
        <f>IF(MAX($D$379:D414)&gt;$D$376-$D$377,0,D414+$D$377)</f>
        <v>0</v>
      </c>
      <c r="E415" s="124">
        <f t="shared" si="2"/>
        <v>0</v>
      </c>
      <c r="F415" s="124">
        <f t="shared" si="3"/>
        <v>0</v>
      </c>
      <c r="G415" s="100">
        <f t="shared" si="4"/>
        <v>0</v>
      </c>
      <c r="H415" s="129">
        <f t="shared" si="5"/>
        <v>0</v>
      </c>
      <c r="I415" s="127">
        <f t="shared" si="6"/>
        <v>0</v>
      </c>
      <c r="J415" s="130">
        <f t="shared" si="7"/>
        <v>0</v>
      </c>
      <c r="K415" s="128">
        <f>IF(H415&gt;0,J415+$J$376,0)</f>
        <v>0</v>
      </c>
    </row>
    <row r="416" spans="2:11" ht="0.75" customHeight="1">
      <c r="B416" s="1"/>
      <c r="C416" s="2"/>
      <c r="D416" s="129">
        <f>IF(MAX($D$379:D415)&gt;$D$376-$D$377,0,D415+$D$377)</f>
        <v>0</v>
      </c>
      <c r="E416" s="124">
        <f t="shared" si="2"/>
        <v>0</v>
      </c>
      <c r="F416" s="124">
        <f t="shared" si="3"/>
        <v>0</v>
      </c>
      <c r="G416" s="100">
        <f t="shared" si="4"/>
        <v>0</v>
      </c>
      <c r="H416" s="129">
        <f t="shared" si="5"/>
        <v>0</v>
      </c>
      <c r="I416" s="127">
        <f t="shared" si="6"/>
        <v>0</v>
      </c>
      <c r="J416" s="130">
        <f t="shared" si="7"/>
        <v>0</v>
      </c>
      <c r="K416" s="128">
        <f>IF(H416&gt;0,J416+$J$376,0)</f>
        <v>0</v>
      </c>
    </row>
    <row r="417" spans="2:11" ht="0.75" customHeight="1">
      <c r="B417" s="1"/>
      <c r="C417" s="2"/>
      <c r="D417" s="129">
        <f>IF(MAX($D$379:D416)&gt;$D$376-$D$377,0,D416+$D$377)</f>
        <v>0</v>
      </c>
      <c r="E417" s="124">
        <f t="shared" si="2"/>
        <v>0</v>
      </c>
      <c r="F417" s="124">
        <f t="shared" si="3"/>
        <v>0</v>
      </c>
      <c r="G417" s="100">
        <f t="shared" si="4"/>
        <v>0</v>
      </c>
      <c r="H417" s="129">
        <f t="shared" si="5"/>
        <v>0</v>
      </c>
      <c r="I417" s="127">
        <f t="shared" si="6"/>
        <v>0</v>
      </c>
      <c r="J417" s="130">
        <f t="shared" si="7"/>
        <v>0</v>
      </c>
      <c r="K417" s="128">
        <f>IF(H417&gt;0,J417+$J$376,0)</f>
        <v>0</v>
      </c>
    </row>
    <row r="418" spans="2:11" ht="0.75" customHeight="1">
      <c r="B418" s="1"/>
      <c r="C418" s="2"/>
      <c r="D418" s="129">
        <f>IF(MAX($D$379:D417)&gt;$D$376-$D$377,0,D417+$D$377)</f>
        <v>0</v>
      </c>
      <c r="E418" s="124">
        <f t="shared" si="2"/>
        <v>0</v>
      </c>
      <c r="F418" s="124">
        <f t="shared" si="3"/>
        <v>0</v>
      </c>
      <c r="G418" s="100">
        <f t="shared" si="4"/>
        <v>0</v>
      </c>
      <c r="H418" s="129">
        <f t="shared" si="5"/>
        <v>0</v>
      </c>
      <c r="I418" s="127">
        <f t="shared" si="6"/>
        <v>0</v>
      </c>
      <c r="J418" s="130">
        <f t="shared" si="7"/>
        <v>0</v>
      </c>
      <c r="K418" s="128">
        <f>IF(H418&gt;0,J418+$J$376,0)</f>
        <v>0</v>
      </c>
    </row>
    <row r="419" spans="2:11" ht="0.75" customHeight="1">
      <c r="B419" s="1"/>
      <c r="C419" s="2"/>
      <c r="D419" s="129">
        <f>IF(MAX($D$379:D418)&gt;$D$376-$D$377,0,D418+$D$377)</f>
        <v>0</v>
      </c>
      <c r="E419" s="124">
        <f t="shared" si="2"/>
        <v>0</v>
      </c>
      <c r="F419" s="124">
        <f t="shared" si="3"/>
        <v>0</v>
      </c>
      <c r="G419" s="100">
        <f t="shared" si="4"/>
        <v>0</v>
      </c>
      <c r="H419" s="129">
        <f t="shared" si="5"/>
        <v>0</v>
      </c>
      <c r="I419" s="127">
        <f t="shared" si="6"/>
        <v>0</v>
      </c>
      <c r="J419" s="130">
        <f t="shared" si="7"/>
        <v>0</v>
      </c>
      <c r="K419" s="128">
        <f>IF(H419&gt;0,J419+$J$376,0)</f>
        <v>0</v>
      </c>
    </row>
    <row r="420" spans="2:11" ht="0.75" customHeight="1">
      <c r="B420" s="1"/>
      <c r="C420" s="2"/>
      <c r="D420" s="129">
        <f>IF(MAX($D$379:D419)&gt;$D$376-$D$377,0,D419+$D$377)</f>
        <v>0</v>
      </c>
      <c r="E420" s="124">
        <f t="shared" si="2"/>
        <v>0</v>
      </c>
      <c r="F420" s="124">
        <f t="shared" si="3"/>
        <v>0</v>
      </c>
      <c r="G420" s="100">
        <f t="shared" si="4"/>
        <v>0</v>
      </c>
      <c r="H420" s="129">
        <f t="shared" si="5"/>
        <v>0</v>
      </c>
      <c r="I420" s="127">
        <f t="shared" si="6"/>
        <v>0</v>
      </c>
      <c r="J420" s="130">
        <f t="shared" si="7"/>
        <v>0</v>
      </c>
      <c r="K420" s="128">
        <f>IF(H420&gt;0,J420+$J$376,0)</f>
        <v>0</v>
      </c>
    </row>
    <row r="421" spans="2:11" ht="0.75" customHeight="1">
      <c r="B421" s="1"/>
      <c r="C421" s="2"/>
      <c r="D421" s="129">
        <f>IF(MAX($D$379:D420)&gt;$D$376-$D$377,0,D420+$D$377)</f>
        <v>0</v>
      </c>
      <c r="E421" s="124">
        <f t="shared" si="2"/>
        <v>0</v>
      </c>
      <c r="F421" s="124">
        <f t="shared" si="3"/>
        <v>0</v>
      </c>
      <c r="G421" s="100">
        <f t="shared" si="4"/>
        <v>0</v>
      </c>
      <c r="H421" s="129">
        <f t="shared" si="5"/>
        <v>0</v>
      </c>
      <c r="I421" s="127">
        <f t="shared" si="6"/>
        <v>0</v>
      </c>
      <c r="J421" s="130">
        <f t="shared" si="7"/>
        <v>0</v>
      </c>
      <c r="K421" s="128">
        <f>IF(H421&gt;0,J421+$J$376,0)</f>
        <v>0</v>
      </c>
    </row>
    <row r="422" spans="2:11" ht="0.75" customHeight="1">
      <c r="B422" s="1"/>
      <c r="C422" s="2"/>
      <c r="D422" s="129">
        <f>IF(MAX($D$379:D421)&gt;$D$376-$D$377,0,D421+$D$377)</f>
        <v>0</v>
      </c>
      <c r="E422" s="124">
        <f t="shared" si="2"/>
        <v>0</v>
      </c>
      <c r="F422" s="124">
        <f t="shared" si="3"/>
        <v>0</v>
      </c>
      <c r="G422" s="100">
        <f t="shared" si="4"/>
        <v>0</v>
      </c>
      <c r="H422" s="129">
        <f t="shared" si="5"/>
        <v>0</v>
      </c>
      <c r="I422" s="127">
        <f t="shared" si="6"/>
        <v>0</v>
      </c>
      <c r="J422" s="130">
        <f t="shared" si="7"/>
        <v>0</v>
      </c>
      <c r="K422" s="128">
        <f>IF(H422&gt;0,J422+$J$376,0)</f>
        <v>0</v>
      </c>
    </row>
    <row r="423" spans="2:11" ht="0.75" customHeight="1">
      <c r="B423" s="1"/>
      <c r="C423" s="2"/>
      <c r="D423" s="129">
        <f>IF(MAX($D$379:D422)&gt;$D$376-$D$377,0,D422+$D$377)</f>
        <v>0</v>
      </c>
      <c r="E423" s="124">
        <f t="shared" si="2"/>
        <v>0</v>
      </c>
      <c r="F423" s="124">
        <f t="shared" si="3"/>
        <v>0</v>
      </c>
      <c r="G423" s="100">
        <f t="shared" si="4"/>
        <v>0</v>
      </c>
      <c r="H423" s="129">
        <f t="shared" si="5"/>
        <v>0</v>
      </c>
      <c r="I423" s="127">
        <f t="shared" si="6"/>
        <v>0</v>
      </c>
      <c r="J423" s="130">
        <f t="shared" si="7"/>
        <v>0</v>
      </c>
      <c r="K423" s="128">
        <f>IF(H423&gt;0,J423+$J$376,0)</f>
        <v>0</v>
      </c>
    </row>
    <row r="424" spans="2:13" ht="0.75" customHeight="1">
      <c r="B424" s="1"/>
      <c r="C424" s="2"/>
      <c r="D424" s="129">
        <f>IF(MAX($D$379:D423)&gt;$D$376-$D$377,0,D423+$D$377)</f>
        <v>0</v>
      </c>
      <c r="E424" s="124">
        <f t="shared" si="2"/>
        <v>0</v>
      </c>
      <c r="F424" s="124">
        <f t="shared" si="3"/>
        <v>0</v>
      </c>
      <c r="G424" s="100">
        <f t="shared" si="4"/>
        <v>0</v>
      </c>
      <c r="H424" s="129">
        <f t="shared" si="5"/>
        <v>0</v>
      </c>
      <c r="I424" s="127">
        <f t="shared" si="6"/>
        <v>0</v>
      </c>
      <c r="J424" s="130">
        <f t="shared" si="7"/>
        <v>0</v>
      </c>
      <c r="K424" s="128">
        <f>IF(H424&gt;0,J424+$J$376,0)</f>
        <v>0</v>
      </c>
      <c r="L424" s="127"/>
      <c r="M424" s="127"/>
    </row>
    <row r="425" spans="2:13" ht="0.75" customHeight="1">
      <c r="B425" s="1"/>
      <c r="C425" s="2"/>
      <c r="D425" s="129">
        <f>IF(MAX($D$379:D424)&gt;$D$376-$D$377,0,D424+$D$377)</f>
        <v>0</v>
      </c>
      <c r="E425" s="124">
        <f t="shared" si="2"/>
        <v>0</v>
      </c>
      <c r="F425" s="124">
        <f t="shared" si="3"/>
        <v>0</v>
      </c>
      <c r="G425" s="100">
        <f t="shared" si="4"/>
        <v>0</v>
      </c>
      <c r="H425" s="129">
        <f t="shared" si="5"/>
        <v>0</v>
      </c>
      <c r="I425" s="127">
        <f t="shared" si="6"/>
        <v>0</v>
      </c>
      <c r="J425" s="130">
        <f t="shared" si="7"/>
        <v>0</v>
      </c>
      <c r="K425" s="128">
        <f>IF(H425&gt;0,J425+$J$376,0)</f>
        <v>0</v>
      </c>
      <c r="L425" s="127"/>
      <c r="M425" s="127"/>
    </row>
    <row r="426" spans="2:13" ht="0.75" customHeight="1">
      <c r="B426" s="1"/>
      <c r="C426" s="2"/>
      <c r="D426" s="129">
        <f>IF(MAX($D$379:D425)&gt;$D$376-$D$377,0,D425+$D$377)</f>
        <v>0</v>
      </c>
      <c r="E426" s="124">
        <f t="shared" si="2"/>
        <v>0</v>
      </c>
      <c r="F426" s="124">
        <f t="shared" si="3"/>
        <v>0</v>
      </c>
      <c r="G426" s="100">
        <f t="shared" si="4"/>
        <v>0</v>
      </c>
      <c r="H426" s="129">
        <f t="shared" si="5"/>
        <v>0</v>
      </c>
      <c r="I426" s="127">
        <f t="shared" si="6"/>
        <v>0</v>
      </c>
      <c r="J426" s="130">
        <f t="shared" si="7"/>
        <v>0</v>
      </c>
      <c r="K426" s="128">
        <f>IF(H426&gt;0,J426+$J$376,0)</f>
        <v>0</v>
      </c>
      <c r="L426" s="127"/>
      <c r="M426" s="127"/>
    </row>
    <row r="427" spans="2:13" ht="0.75" customHeight="1">
      <c r="B427" s="1"/>
      <c r="C427" s="2"/>
      <c r="D427" s="129">
        <f>IF(MAX($D$379:D426)&gt;$D$376-$D$377,0,D426+$D$377)</f>
        <v>0</v>
      </c>
      <c r="E427" s="124">
        <f t="shared" si="2"/>
        <v>0</v>
      </c>
      <c r="F427" s="124">
        <f t="shared" si="3"/>
        <v>0</v>
      </c>
      <c r="G427" s="100">
        <f t="shared" si="4"/>
        <v>0</v>
      </c>
      <c r="H427" s="129">
        <f t="shared" si="5"/>
        <v>0</v>
      </c>
      <c r="I427" s="127">
        <f t="shared" si="6"/>
        <v>0</v>
      </c>
      <c r="J427" s="130">
        <f t="shared" si="7"/>
        <v>0</v>
      </c>
      <c r="K427" s="128">
        <f>IF(H427&gt;0,J427+$J$376,0)</f>
        <v>0</v>
      </c>
      <c r="L427" s="127"/>
      <c r="M427" s="127"/>
    </row>
    <row r="428" spans="2:13" ht="0.75" customHeight="1">
      <c r="B428" s="1"/>
      <c r="C428" s="2"/>
      <c r="D428" s="129">
        <f>IF(MAX($D$379:D427)&gt;$D$376-$D$377,0,D427+$D$377)</f>
        <v>0</v>
      </c>
      <c r="E428" s="124">
        <f t="shared" si="2"/>
        <v>0</v>
      </c>
      <c r="F428" s="124">
        <f t="shared" si="3"/>
        <v>0</v>
      </c>
      <c r="G428" s="100">
        <f t="shared" si="4"/>
        <v>0</v>
      </c>
      <c r="H428" s="129">
        <f t="shared" si="5"/>
        <v>0</v>
      </c>
      <c r="I428" s="127">
        <f t="shared" si="6"/>
        <v>0</v>
      </c>
      <c r="J428" s="130">
        <f t="shared" si="7"/>
        <v>0</v>
      </c>
      <c r="K428" s="128">
        <f>IF(H428&gt;0,J428+$J$376,0)</f>
        <v>0</v>
      </c>
      <c r="L428" s="127"/>
      <c r="M428" s="127"/>
    </row>
    <row r="429" spans="2:13" ht="0.75" customHeight="1">
      <c r="B429" s="1"/>
      <c r="C429" s="2"/>
      <c r="D429" s="129">
        <f>IF(MAX($D$379:D428)&gt;$D$376-$D$377,0,D428+$D$377)</f>
        <v>0</v>
      </c>
      <c r="E429" s="124">
        <f t="shared" si="2"/>
        <v>0</v>
      </c>
      <c r="F429" s="124">
        <f t="shared" si="3"/>
        <v>0</v>
      </c>
      <c r="G429" s="100">
        <f t="shared" si="4"/>
        <v>0</v>
      </c>
      <c r="H429" s="129">
        <f t="shared" si="5"/>
        <v>0</v>
      </c>
      <c r="I429" s="127">
        <f t="shared" si="6"/>
        <v>0</v>
      </c>
      <c r="J429" s="130">
        <f t="shared" si="7"/>
        <v>0</v>
      </c>
      <c r="K429" s="128">
        <f>IF(H429&gt;0,J429+$J$376,0)</f>
        <v>0</v>
      </c>
      <c r="L429" s="127"/>
      <c r="M429" s="127"/>
    </row>
    <row r="430" spans="2:13" ht="0.75" customHeight="1">
      <c r="B430" s="1"/>
      <c r="C430" s="2"/>
      <c r="D430" s="129">
        <f>IF(MAX($D$379:D429)&gt;$D$376-$D$377,0,D429+$D$377)</f>
        <v>0</v>
      </c>
      <c r="E430" s="124">
        <f t="shared" si="2"/>
        <v>0</v>
      </c>
      <c r="F430" s="124">
        <f t="shared" si="3"/>
        <v>0</v>
      </c>
      <c r="G430" s="100">
        <f t="shared" si="4"/>
        <v>0</v>
      </c>
      <c r="H430" s="129">
        <f t="shared" si="5"/>
        <v>0</v>
      </c>
      <c r="I430" s="127">
        <f t="shared" si="6"/>
        <v>0</v>
      </c>
      <c r="J430" s="130">
        <f t="shared" si="7"/>
        <v>0</v>
      </c>
      <c r="K430" s="128">
        <f>IF(H430&gt;0,J430+$J$376,0)</f>
        <v>0</v>
      </c>
      <c r="L430" s="127"/>
      <c r="M430" s="127"/>
    </row>
    <row r="431" spans="2:13" ht="0.75" customHeight="1">
      <c r="B431" s="1"/>
      <c r="C431" s="2"/>
      <c r="D431" s="132"/>
      <c r="E431" s="132"/>
      <c r="F431" s="128"/>
      <c r="G431" s="129"/>
      <c r="H431" s="123"/>
      <c r="I431" s="130"/>
      <c r="J431" s="127"/>
      <c r="K431" s="127"/>
      <c r="L431" s="127"/>
      <c r="M431" s="127"/>
    </row>
    <row r="432" spans="2:13" ht="0.75" customHeight="1">
      <c r="B432" s="1"/>
      <c r="C432" s="2"/>
      <c r="D432" s="132"/>
      <c r="E432" s="132"/>
      <c r="F432" s="128"/>
      <c r="G432" s="129"/>
      <c r="H432" s="123"/>
      <c r="I432" s="130"/>
      <c r="J432" s="127"/>
      <c r="K432" s="127"/>
      <c r="L432" s="127"/>
      <c r="M432" s="127"/>
    </row>
    <row r="433" spans="2:13" ht="12.75" customHeight="1">
      <c r="B433" s="1"/>
      <c r="C433" s="2"/>
      <c r="D433" s="132"/>
      <c r="E433" s="132"/>
      <c r="F433" s="128"/>
      <c r="G433" s="129"/>
      <c r="H433" s="123"/>
      <c r="I433" s="130"/>
      <c r="J433" s="127"/>
      <c r="K433" s="127"/>
      <c r="L433" s="127"/>
      <c r="M433" s="127"/>
    </row>
    <row r="434" spans="2:13" ht="12.75" customHeight="1">
      <c r="B434" s="1"/>
      <c r="M434" s="127"/>
    </row>
    <row r="435" spans="2:13" ht="12.75" customHeight="1">
      <c r="B435" s="1"/>
      <c r="M435" s="127"/>
    </row>
    <row r="436" spans="2:13" ht="12.75" customHeight="1">
      <c r="B436" s="1"/>
      <c r="M436" s="127"/>
    </row>
    <row r="437" spans="2:13" ht="12.75" customHeight="1">
      <c r="B437" s="1"/>
      <c r="M437" s="127"/>
    </row>
    <row r="438" spans="2:13" ht="12.75" customHeight="1">
      <c r="B438" s="1"/>
      <c r="M438" s="127"/>
    </row>
    <row r="439" spans="2:13" ht="12.75" customHeight="1">
      <c r="B439" s="1"/>
      <c r="M439" s="127"/>
    </row>
    <row r="440" spans="2:13" ht="13.5">
      <c r="B440" s="1"/>
      <c r="M440" s="127"/>
    </row>
    <row r="441" spans="2:13" ht="13.5">
      <c r="B441" s="1"/>
      <c r="M441" s="127"/>
    </row>
    <row r="442" spans="2:13" ht="13.5">
      <c r="B442" s="1"/>
      <c r="M442" s="127"/>
    </row>
    <row r="443" spans="2:13" ht="13.5">
      <c r="B443" s="1"/>
      <c r="M443" s="127"/>
    </row>
    <row r="444" spans="2:13" ht="13.5">
      <c r="B444" s="1"/>
      <c r="M444" s="127"/>
    </row>
    <row r="445" spans="2:13" ht="13.5">
      <c r="B445" s="1"/>
      <c r="C445" s="2"/>
      <c r="D445" s="132"/>
      <c r="E445" s="132"/>
      <c r="F445" s="128"/>
      <c r="G445" s="129"/>
      <c r="H445" s="123"/>
      <c r="I445" s="130"/>
      <c r="J445" s="127"/>
      <c r="K445" s="127"/>
      <c r="L445" s="127"/>
      <c r="M445" s="127"/>
    </row>
    <row r="446" spans="2:13" ht="13.5">
      <c r="B446" s="1"/>
      <c r="C446" s="2"/>
      <c r="D446" s="132"/>
      <c r="E446" s="132"/>
      <c r="F446" s="128"/>
      <c r="G446" s="129"/>
      <c r="H446" s="123"/>
      <c r="I446" s="130"/>
      <c r="J446" s="127"/>
      <c r="K446" s="127"/>
      <c r="L446" s="127"/>
      <c r="M446" s="127"/>
    </row>
    <row r="447" spans="2:13" ht="13.5">
      <c r="B447" s="1"/>
      <c r="C447" s="2"/>
      <c r="D447" s="132"/>
      <c r="E447" s="132"/>
      <c r="F447" s="128"/>
      <c r="G447" s="129"/>
      <c r="H447" s="123"/>
      <c r="I447" s="130"/>
      <c r="J447" s="127"/>
      <c r="K447" s="127"/>
      <c r="L447" s="127"/>
      <c r="M447" s="127"/>
    </row>
    <row r="448" spans="2:13" ht="13.5">
      <c r="B448" s="1"/>
      <c r="C448" s="2"/>
      <c r="D448" s="132"/>
      <c r="E448" s="132"/>
      <c r="F448" s="128"/>
      <c r="G448" s="129"/>
      <c r="H448" s="123"/>
      <c r="I448" s="130"/>
      <c r="J448" s="127"/>
      <c r="K448" s="127"/>
      <c r="L448" s="127"/>
      <c r="M448" s="127"/>
    </row>
    <row r="449" spans="2:13" ht="13.5">
      <c r="B449" s="1"/>
      <c r="C449" s="2"/>
      <c r="D449" s="132"/>
      <c r="E449" s="132"/>
      <c r="F449" s="128"/>
      <c r="G449" s="129"/>
      <c r="H449" s="123"/>
      <c r="I449" s="130"/>
      <c r="J449" s="127"/>
      <c r="K449" s="127"/>
      <c r="L449" s="127"/>
      <c r="M449" s="127"/>
    </row>
    <row r="450" spans="2:13" ht="13.5">
      <c r="B450" s="1"/>
      <c r="C450" s="2"/>
      <c r="D450" s="132"/>
      <c r="E450" s="132"/>
      <c r="F450" s="128"/>
      <c r="G450" s="129"/>
      <c r="H450" s="123"/>
      <c r="I450" s="130"/>
      <c r="J450" s="127"/>
      <c r="K450" s="127"/>
      <c r="L450" s="127"/>
      <c r="M450" s="127"/>
    </row>
    <row r="451" spans="2:13" ht="13.5">
      <c r="B451" s="1"/>
      <c r="C451" s="2"/>
      <c r="D451" s="132"/>
      <c r="E451" s="132"/>
      <c r="F451" s="128"/>
      <c r="G451" s="129"/>
      <c r="H451" s="123"/>
      <c r="I451" s="130"/>
      <c r="J451" s="127"/>
      <c r="K451" s="127"/>
      <c r="L451" s="127"/>
      <c r="M451" s="127"/>
    </row>
    <row r="452" spans="1:13" ht="13.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3.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3.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3.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3.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ht="10.5"/>
    <row r="458" ht="10.5"/>
    <row r="459" ht="10.5"/>
    <row r="460" ht="10.5"/>
    <row r="461" ht="10.5"/>
    <row r="462" ht="10.5"/>
    <row r="463" ht="10.5"/>
    <row r="464" ht="10.5"/>
    <row r="465" ht="10.5"/>
    <row r="466" ht="10.5"/>
    <row r="467" ht="10.5"/>
    <row r="468" ht="10.5"/>
    <row r="469" ht="10.5"/>
    <row r="470" ht="10.5"/>
    <row r="471" ht="10.5"/>
    <row r="472" ht="10.5"/>
    <row r="473" ht="10.5"/>
    <row r="474" ht="10.5"/>
    <row r="475" ht="10.5"/>
    <row r="476" ht="10.5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>
      <c r="C495" s="2"/>
    </row>
    <row r="496" ht="12.75" customHeight="1">
      <c r="C496" s="2"/>
    </row>
    <row r="497" ht="12.75" customHeight="1">
      <c r="C497" s="2"/>
    </row>
    <row r="498" ht="12.75" customHeight="1"/>
    <row r="499" ht="12.75" customHeight="1">
      <c r="B499" s="1"/>
    </row>
    <row r="500" ht="12.75" customHeight="1"/>
    <row r="501" ht="12.75" customHeight="1">
      <c r="B501" s="1"/>
    </row>
    <row r="502" ht="12.75" customHeight="1">
      <c r="B502" s="1"/>
    </row>
    <row r="503" ht="12.75" customHeight="1">
      <c r="B503" s="1"/>
    </row>
    <row r="504" ht="12.75" customHeight="1">
      <c r="B504" s="1"/>
    </row>
    <row r="505" ht="12.75" customHeight="1">
      <c r="B505" s="1"/>
    </row>
    <row r="506" ht="12.75" customHeight="1">
      <c r="B506" s="1"/>
    </row>
    <row r="507" ht="12.75" customHeight="1">
      <c r="B507" s="1"/>
    </row>
    <row r="508" ht="12.75" customHeight="1"/>
    <row r="509" spans="2:3" ht="12.75" customHeight="1">
      <c r="B509" s="1"/>
      <c r="C509" s="2"/>
    </row>
    <row r="510" spans="2:3" ht="12.75" customHeight="1">
      <c r="B510" s="1"/>
      <c r="C510" s="2"/>
    </row>
    <row r="511" spans="2:3" ht="12.75" customHeight="1">
      <c r="B511" s="1"/>
      <c r="C511" s="2"/>
    </row>
    <row r="512" ht="12.75" customHeight="1">
      <c r="C512" s="2"/>
    </row>
    <row r="513" ht="12.75" customHeight="1">
      <c r="C513" s="2"/>
    </row>
    <row r="514" ht="12.75" customHeight="1">
      <c r="C514" s="2"/>
    </row>
    <row r="515" ht="12.75" customHeight="1">
      <c r="C515" s="2"/>
    </row>
    <row r="516" ht="12.75" customHeight="1">
      <c r="C516" s="2"/>
    </row>
    <row r="517" ht="12.75" customHeight="1">
      <c r="C517" s="2"/>
    </row>
    <row r="518" ht="12.75" customHeight="1">
      <c r="C518" s="2"/>
    </row>
    <row r="519" ht="12.75" customHeight="1">
      <c r="C519" s="2"/>
    </row>
    <row r="520" ht="12.75" customHeight="1">
      <c r="C520" s="2"/>
    </row>
    <row r="521" ht="12.75" customHeight="1">
      <c r="C521" s="2"/>
    </row>
    <row r="522" ht="12.75" customHeight="1">
      <c r="C522" s="2"/>
    </row>
    <row r="523" ht="12.75" customHeight="1">
      <c r="C523" s="2"/>
    </row>
    <row r="524" ht="12.75" customHeight="1">
      <c r="C524" s="2"/>
    </row>
    <row r="525" spans="3:15" ht="12.75" customHeight="1">
      <c r="C525" s="2"/>
      <c r="N525" s="127"/>
      <c r="O525" s="127"/>
    </row>
    <row r="526" spans="3:15" ht="12.75" customHeight="1">
      <c r="C526" s="2"/>
      <c r="N526" s="127"/>
      <c r="O526" s="127"/>
    </row>
    <row r="527" spans="3:15" ht="12.75" customHeight="1">
      <c r="C527" s="2"/>
      <c r="N527" s="127"/>
      <c r="O527" s="127"/>
    </row>
    <row r="528" spans="3:15" ht="12.75" customHeight="1">
      <c r="C528" s="2"/>
      <c r="N528" s="127"/>
      <c r="O528" s="127"/>
    </row>
    <row r="529" spans="14:15" ht="13.5">
      <c r="N529" s="127"/>
      <c r="O529" s="127"/>
    </row>
    <row r="530" spans="14:15" ht="13.5">
      <c r="N530" s="127"/>
      <c r="O530" s="127"/>
    </row>
    <row r="531" spans="14:15" ht="13.5">
      <c r="N531" s="127"/>
      <c r="O531" s="127"/>
    </row>
    <row r="532" spans="14:15" ht="13.5">
      <c r="N532" s="127"/>
      <c r="O532" s="127"/>
    </row>
    <row r="533" spans="14:15" ht="13.5">
      <c r="N533" s="127"/>
      <c r="O533" s="127"/>
    </row>
    <row r="534" spans="14:15" ht="13.5">
      <c r="N534" s="127"/>
      <c r="O534" s="127"/>
    </row>
    <row r="535" spans="14:15" ht="13.5">
      <c r="N535" s="127"/>
      <c r="O535" s="127"/>
    </row>
    <row r="536" spans="14:15" ht="13.5">
      <c r="N536" s="127"/>
      <c r="O536" s="127"/>
    </row>
    <row r="537" spans="14:15" ht="13.5">
      <c r="N537" s="127"/>
      <c r="O537" s="127"/>
    </row>
    <row r="538" spans="14:15" ht="13.5">
      <c r="N538" s="127"/>
      <c r="O538" s="127"/>
    </row>
    <row r="539" spans="14:15" ht="13.5">
      <c r="N539" s="127"/>
      <c r="O539" s="127"/>
    </row>
    <row r="540" spans="14:15" ht="13.5">
      <c r="N540" s="127"/>
      <c r="O540" s="127"/>
    </row>
    <row r="541" spans="14:15" ht="13.5">
      <c r="N541" s="127"/>
      <c r="O541" s="127"/>
    </row>
    <row r="542" spans="14:15" ht="13.5">
      <c r="N542" s="127"/>
      <c r="O542" s="127"/>
    </row>
    <row r="543" spans="14:15" ht="13.5">
      <c r="N543" s="127"/>
      <c r="O543" s="127"/>
    </row>
    <row r="544" spans="14:15" ht="13.5">
      <c r="N544" s="127"/>
      <c r="O544" s="127"/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1999-10-08T20:26:44Z</cp:lastPrinted>
  <dcterms:created xsi:type="dcterms:W3CDTF">1998-11-04T18:36:00Z</dcterms:created>
  <cp:category/>
  <cp:version/>
  <cp:contentType/>
  <cp:contentStatus/>
</cp:coreProperties>
</file>