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tabRatio="14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<sst xmlns="http://schemas.openxmlformats.org/spreadsheetml/2006/main" count="230" uniqueCount="217">
  <si>
    <t xml:space="preserve">     What are the implications of a food stamp program?  On one level, they may achieve the social goal of raising</t>
  </si>
  <si>
    <t>life expectancy of a targeted population.  At the same time, by altering the permissible mix of expenditure proportions,</t>
  </si>
  <si>
    <t>they not only may lower a consumer's level of total utility.  They also may create an illegal market in food stamp</t>
  </si>
  <si>
    <t xml:space="preserve">coupons.  The question then becomes what are the monitoring costs of a food stamp program in comparison to a </t>
  </si>
  <si>
    <t>It may turn out that a cash transfer is less expensive than a food stamp program when these costs are taken into</t>
  </si>
  <si>
    <t>consideration.</t>
  </si>
  <si>
    <t>Administrative Cost Ratio</t>
  </si>
  <si>
    <t>Administrative Cost</t>
  </si>
  <si>
    <t>Total food stamp cost</t>
  </si>
  <si>
    <t xml:space="preserve">     Another alternative is to emphasize consumer health education.  Here consumer preferences may change</t>
  </si>
  <si>
    <t>in response to improved information, thus permitting a less expensive solution to achieving the targeted level</t>
  </si>
  <si>
    <t>of life expectancy.</t>
  </si>
  <si>
    <t>Base Budget</t>
  </si>
  <si>
    <t>Cash Budget</t>
  </si>
  <si>
    <t>Base Utility</t>
  </si>
  <si>
    <t>Cash Utility</t>
  </si>
  <si>
    <t>Food Stamp Utility</t>
  </si>
  <si>
    <t xml:space="preserve">          Figure 1</t>
  </si>
  <si>
    <t>Non-food expenditures would rise to</t>
  </si>
  <si>
    <t>with a corresponding level of non-food consumption now at</t>
  </si>
  <si>
    <t>units equal to</t>
  </si>
  <si>
    <t>base level.</t>
  </si>
  <si>
    <t xml:space="preserve">     Let us now consider a cash transfer program using standard income redistribution tools. As long as the marginal </t>
  </si>
  <si>
    <t xml:space="preserve">utility of a dollar's worth of income to recipients is at least equal to a dollar's worth of income foregone through </t>
  </si>
  <si>
    <t xml:space="preserve">taxation to contributing members of the population, there will be a net increase in total social welfare. Note that this </t>
  </si>
  <si>
    <t>option assumes also that there will be no change in consumer preferences among all members of the population.</t>
  </si>
  <si>
    <t>Percentage</t>
  </si>
  <si>
    <t>Food consumption level</t>
  </si>
  <si>
    <t>Non-food consumption level</t>
  </si>
  <si>
    <t>Total expenditures</t>
  </si>
  <si>
    <t>Cash Transfer</t>
  </si>
  <si>
    <t>Food Stamps</t>
  </si>
  <si>
    <t>Food stamp cost</t>
  </si>
  <si>
    <t>Food stamp purchase value</t>
  </si>
  <si>
    <t>Net value of food stamps</t>
  </si>
  <si>
    <t xml:space="preserve">     To see how this will be so, consider the consumer's new budget constraint.  The net value of food stamp coupons</t>
  </si>
  <si>
    <t>will be a level which is spent entirely on food will increase food consumption up to the target level of consumption.</t>
  </si>
  <si>
    <t>In this case, the target level of food consumption is set at</t>
  </si>
  <si>
    <t>a unit shift of</t>
  </si>
  <si>
    <t>units.</t>
  </si>
  <si>
    <t>At a unit current price level of</t>
  </si>
  <si>
    <t>such that the net value of food stamp coupons will now be set at</t>
  </si>
  <si>
    <t>Net value of non-food budget</t>
  </si>
  <si>
    <t>Non-food expenditures</t>
  </si>
  <si>
    <t>Food expenditures</t>
  </si>
  <si>
    <t>Any positive price for food stamps that constrains the individual to spend food stamps only on food may achieve the</t>
  </si>
  <si>
    <t>goal of raising life expectancy, but it will result in a lower level of consumer welfare than a straight cash transfer</t>
  </si>
  <si>
    <t>Base Case</t>
  </si>
  <si>
    <t>Net Change in Income</t>
  </si>
  <si>
    <t>Total utility</t>
  </si>
  <si>
    <t>MUf/Pf</t>
  </si>
  <si>
    <t>MUn/Pn</t>
  </si>
  <si>
    <t>MUn</t>
  </si>
  <si>
    <t>MUf</t>
  </si>
  <si>
    <t xml:space="preserve">                          (select any price for food stamps in the bold cell)</t>
  </si>
  <si>
    <t xml:space="preserve">       Comparison of Alternative Food Stamp Program Options</t>
  </si>
  <si>
    <t>designed to accomplish the same objective.  Moreover, any positive price of food stamp coupons that raises</t>
  </si>
  <si>
    <t>income with a requirement to spend only on food will lower total utility because expenditure proportions will differ</t>
  </si>
  <si>
    <t xml:space="preserve">from the expenditure proportion preferences in the consumer's utility function.  </t>
  </si>
  <si>
    <t>level of food necessary to achieve the target level of consumption.  We consider the second and third options.</t>
  </si>
  <si>
    <t>a. The Cash Transfer Option</t>
  </si>
  <si>
    <t>b. The Food Stamp Coupon Option</t>
  </si>
  <si>
    <t>F         +</t>
  </si>
  <si>
    <t xml:space="preserve">          Consumer Demand and the Optimal Pricing of Food Stamps</t>
  </si>
  <si>
    <t>a change of</t>
  </si>
  <si>
    <t xml:space="preserve">     Policymakers often look at food stamp coupons as a means to achieve a target level of food consumption,</t>
  </si>
  <si>
    <t xml:space="preserve">much as we have outlined in our example above.  Food stamp coupons generally cost consumers some </t>
  </si>
  <si>
    <t xml:space="preserve">nominal amount of money, but confer a multiple of the nominal price equal to the target level of desired food </t>
  </si>
  <si>
    <t>To pursue our example, if an increase of</t>
  </si>
  <si>
    <t>is needed to bring food consumption up to the</t>
  </si>
  <si>
    <t>target level, as long as the difference between the purchase price and the purchasing value of the food stamp</t>
  </si>
  <si>
    <t>coupon is equal to</t>
  </si>
  <si>
    <t>then in principle, a consumer would be in a position to increase food</t>
  </si>
  <si>
    <t>consumption up to a targeted level.  Yet, if the food stamp coupons must be spent only on approved food</t>
  </si>
  <si>
    <t>items, the simple increase in purchasing power will not result in an optimal allocation of the consumer's budget.</t>
  </si>
  <si>
    <t>which is</t>
  </si>
  <si>
    <t>and relative prices, consumers will seek to maximize utility rather than some other variable such as life</t>
  </si>
  <si>
    <t>expectancy.  We illustrate here the relationship in our numerical example between food consumption and</t>
  </si>
  <si>
    <t>Calories</t>
  </si>
  <si>
    <t>life expectancy.  To do so, consider the quantity of food as corresponding to a given level of caloric intake,</t>
  </si>
  <si>
    <t>using the following multiplier rate:</t>
  </si>
  <si>
    <t xml:space="preserve">and which in turn corresonds to the following life expectancies </t>
  </si>
  <si>
    <t>relative to a national mean of</t>
  </si>
  <si>
    <t>years, based on a mean level of food consumption of</t>
  </si>
  <si>
    <t>Life</t>
  </si>
  <si>
    <t>Expectancy</t>
  </si>
  <si>
    <t>Daily Food</t>
  </si>
  <si>
    <t>Consumption</t>
  </si>
  <si>
    <t>Equivalent</t>
  </si>
  <si>
    <t>calories per day. Based on these data, we find that our initial optimal utility corresponds to</t>
  </si>
  <si>
    <t>a life expectancy of:</t>
  </si>
  <si>
    <t>years, which is equal to</t>
  </si>
  <si>
    <t>of the national average.</t>
  </si>
  <si>
    <t xml:space="preserve">Suppose now that these data, which have been compiled by a public health service, now form the basis of </t>
  </si>
  <si>
    <t xml:space="preserve">a program to raise life expectancy from its current level of </t>
  </si>
  <si>
    <t xml:space="preserve">of the national average to a new </t>
  </si>
  <si>
    <t>level of</t>
  </si>
  <si>
    <t>percent of the national average. There are several ways to achieve this objective.</t>
  </si>
  <si>
    <t>expectancy.  A third way is to provide food stamp coupons that enable consumers to purchase the differential</t>
  </si>
  <si>
    <t xml:space="preserve">    First, we derive the target level of food consumption necessary to achieve the target level of life expectancy:</t>
  </si>
  <si>
    <t>Actual consumption</t>
  </si>
  <si>
    <t>Actual caloric intake</t>
  </si>
  <si>
    <t>Target caloric intake</t>
  </si>
  <si>
    <t>Target consumption</t>
  </si>
  <si>
    <t>units</t>
  </si>
  <si>
    <t>From this level, we can determine the level of income that will achieve this level of food consumption</t>
  </si>
  <si>
    <t>and which is consistent with the consumer's underlying utility function.  To do so, we note that the</t>
  </si>
  <si>
    <t>level of food expenditures will be:</t>
  </si>
  <si>
    <t>Since this represents</t>
  </si>
  <si>
    <t>of the consumer's optimal budget, total expenditures must be at</t>
  </si>
  <si>
    <t>Quantity of food;</t>
  </si>
  <si>
    <t>Quantity of non-food</t>
  </si>
  <si>
    <t>equal to a</t>
  </si>
  <si>
    <t xml:space="preserve"> to a level that achieves the targeted level of food consumption corresponding to the targeted level of life</t>
  </si>
  <si>
    <t>One is to provide direct food allocations to targeted populations, and option now provided through food</t>
  </si>
  <si>
    <t>assistance programs, but which we will not examine further here.  Another is to raise consumer income</t>
  </si>
  <si>
    <t>+</t>
  </si>
  <si>
    <t>∂L/∂F =</t>
  </si>
  <si>
    <t xml:space="preserve">   +</t>
  </si>
  <si>
    <t xml:space="preserve"> +</t>
  </si>
  <si>
    <t>∂L/∂N =</t>
  </si>
  <si>
    <r>
      <t>∂L/∂</t>
    </r>
    <r>
      <rPr>
        <sz val="12"/>
        <rFont val="Symbol"/>
        <family val="0"/>
      </rPr>
      <t>l</t>
    </r>
    <r>
      <rPr>
        <sz val="12"/>
        <rFont val="Helv"/>
        <family val="0"/>
      </rPr>
      <t xml:space="preserve"> =</t>
    </r>
  </si>
  <si>
    <t>l     =</t>
  </si>
  <si>
    <t xml:space="preserve">        =</t>
  </si>
  <si>
    <t>Simplifying:</t>
  </si>
  <si>
    <t xml:space="preserve">     =</t>
  </si>
  <si>
    <r>
      <t xml:space="preserve"> = -</t>
    </r>
    <r>
      <rPr>
        <sz val="12"/>
        <rFont val="Symbol"/>
        <family val="0"/>
      </rPr>
      <t xml:space="preserve"> l</t>
    </r>
  </si>
  <si>
    <r>
      <t xml:space="preserve">l,   </t>
    </r>
    <r>
      <rPr>
        <sz val="12"/>
        <rFont val="Helv"/>
        <family val="0"/>
      </rPr>
      <t xml:space="preserve"> i.e.</t>
    </r>
  </si>
  <si>
    <t>2.a</t>
  </si>
  <si>
    <t>3.a</t>
  </si>
  <si>
    <t>Setting 2.a and 3.a equal to each other and then multiplying through by a simplying expression (that</t>
  </si>
  <si>
    <t>will enable us to eliminate exponents) yields:</t>
  </si>
  <si>
    <t xml:space="preserve">         =</t>
  </si>
  <si>
    <t>This expression simplifies to:</t>
  </si>
  <si>
    <t>F     =</t>
  </si>
  <si>
    <t>N     =</t>
  </si>
  <si>
    <t>where F =</t>
  </si>
  <si>
    <t xml:space="preserve">     which simplifies further to:   </t>
  </si>
  <si>
    <t>F     +</t>
  </si>
  <si>
    <t>, which when simplified, reduces to:</t>
  </si>
  <si>
    <t>F  =</t>
  </si>
  <si>
    <t>and in turn,</t>
  </si>
  <si>
    <t>N   =</t>
  </si>
  <si>
    <t xml:space="preserve"> i.e.,</t>
  </si>
  <si>
    <t>or</t>
  </si>
  <si>
    <t>, i.e.,</t>
  </si>
  <si>
    <t xml:space="preserve"> Fopt =</t>
  </si>
  <si>
    <t>Nopt =</t>
  </si>
  <si>
    <t xml:space="preserve"> =</t>
  </si>
  <si>
    <t>MUn = ∂U/∂N =</t>
  </si>
  <si>
    <t>MUf = ∂U/∂F =</t>
  </si>
  <si>
    <t>MUf/Pf =</t>
  </si>
  <si>
    <t>MUn/Pn =</t>
  </si>
  <si>
    <t>In turn, we now divide these by</t>
  </si>
  <si>
    <t>their respective prices to obtain:</t>
  </si>
  <si>
    <t>Let us now compute two supporting conclusions.  First, we derive the level of total utility by inserting</t>
  </si>
  <si>
    <t xml:space="preserve">"utils".  In turn, we verify that the ratio of the </t>
  </si>
  <si>
    <t>respective marginal utilities to their corresponding input prices has been equalized.  To do so we</t>
  </si>
  <si>
    <t>the optimal quantities of F and N in the original utility function:</t>
  </si>
  <si>
    <t>first derive the marginal utility of each good from equations 2 and 3:</t>
  </si>
  <si>
    <t>Next, substitute the reduced value of N or F into the budget constraint to obtain the optimal  consumption:</t>
  </si>
  <si>
    <t>, i.e., we have an optimal solution.</t>
  </si>
  <si>
    <t>Total</t>
  </si>
  <si>
    <t>We now compute the respective expenditures on each good and note the respective proportions:</t>
  </si>
  <si>
    <t>below.</t>
  </si>
  <si>
    <t>(Given the utility function, each exponent divided by the sum of the exponents will always yield the optimal</t>
  </si>
  <si>
    <t>expenditure proportions for any budget and set of input prices, even though we have provided the formal</t>
  </si>
  <si>
    <t>derivation here).</t>
  </si>
  <si>
    <t>I.</t>
  </si>
  <si>
    <t>Introduction</t>
  </si>
  <si>
    <t>II.</t>
  </si>
  <si>
    <t>Base Case Utility Optimization</t>
  </si>
  <si>
    <t>III.</t>
  </si>
  <si>
    <t>Options for Food Stamp Pricing</t>
  </si>
  <si>
    <t xml:space="preserve">     The motivation behind a food stamp program is straightforward.  Given consumer preferences, income,</t>
  </si>
  <si>
    <t>Montclair State University</t>
  </si>
  <si>
    <t>School of Business</t>
  </si>
  <si>
    <t>Department of Economics and Finance</t>
  </si>
  <si>
    <t>Dr. P. LeBel</t>
  </si>
  <si>
    <t>©2000</t>
  </si>
  <si>
    <t xml:space="preserve">     A key principle of the theory of consumer demand is the notion of utility, or welfare, maximization.</t>
  </si>
  <si>
    <t>In operational terms, this means that for a given level of income and for a given level of relative prices,</t>
  </si>
  <si>
    <t>consumers maximize welfare when they purchase goods so that the ratio of the respective marginal</t>
  </si>
  <si>
    <t xml:space="preserve">utility to the price of each good is equalized among all goods purchased.  In graphical terms, this </t>
  </si>
  <si>
    <t>usually is portrayed through the use of indifference curves and a budget constraint such that the point</t>
  </si>
  <si>
    <t>of tangency of the budget line to the highest indifference curve is the combination of goods that</t>
  </si>
  <si>
    <t>maximizes consumer welfare.  The reason why such indifference curves are used is that they enable</t>
  </si>
  <si>
    <t>one to portray consumer decisions independently of any direct, or cardinal measure of utility.  At the</t>
  </si>
  <si>
    <t>same time, when many public policy decisions are made, they often are based on underlying value</t>
  </si>
  <si>
    <t>judgments regarding cardinal utilty, i.e., on interpersonal comparisons of marginal utilities among</t>
  </si>
  <si>
    <t>individuals.</t>
  </si>
  <si>
    <t xml:space="preserve">     We can analyze the food stamp program to illustrate many aspects of the theory of consumer</t>
  </si>
  <si>
    <t xml:space="preserve">demand.  To do so, let us make a temporary value judgment, namely, that consumer utility is </t>
  </si>
  <si>
    <t>measureable in cardinal terms, just as Jeremy Bentham and his successors through to be the case</t>
  </si>
  <si>
    <t>well over two hundred years ago.  Not only are we going to assume that consumers have cardinal</t>
  </si>
  <si>
    <t xml:space="preserve">utility.  We also are going to make the following further assumptions:  1. That each individual's </t>
  </si>
  <si>
    <t xml:space="preserve">utility function is "Cobb-Douglas" in form, which is to say that the elasticity of substitution among </t>
  </si>
  <si>
    <t>all possible goods consumed is unitary; 2. That the individual has an initial level of income given</t>
  </si>
  <si>
    <t>below; 3. That the indiidual spends this income only on two aggregate bundles of goods, namely,</t>
  </si>
  <si>
    <t>food and non-food items; 4. That the average prices of food and non-food bundles are given</t>
  </si>
  <si>
    <t>Individual Income level</t>
  </si>
  <si>
    <t>Food unit price</t>
  </si>
  <si>
    <t>Non-food unit price</t>
  </si>
  <si>
    <t>Individual Utility Function:</t>
  </si>
  <si>
    <t>U =</t>
  </si>
  <si>
    <t>F</t>
  </si>
  <si>
    <t>N</t>
  </si>
  <si>
    <t>N =</t>
  </si>
  <si>
    <t>The initial optimal combination of food and non-food consumption is determined where the ratio</t>
  </si>
  <si>
    <t xml:space="preserve">of the respective marginal utility of food consumed to its price is equal to the ratio of the marginal </t>
  </si>
  <si>
    <t>utiity of non-food to its price.  To derive this combination, we formally defined a Lagrangian</t>
  </si>
  <si>
    <t>constrained optimization problem as follows:</t>
  </si>
  <si>
    <t>L =</t>
  </si>
  <si>
    <t xml:space="preserve">  +</t>
  </si>
  <si>
    <r>
      <t xml:space="preserve">  + </t>
    </r>
    <r>
      <rPr>
        <sz val="12"/>
        <rFont val="Symbol"/>
        <family val="0"/>
      </rPr>
      <t xml:space="preserve"> l</t>
    </r>
  </si>
  <si>
    <t xml:space="preserve">N     </t>
  </si>
  <si>
    <r>
      <t>The solution is obtained by first taking the partial derivatives with respect to each variable, F, N, and</t>
    </r>
    <r>
      <rPr>
        <sz val="12"/>
        <rFont val="Symbol"/>
        <family val="0"/>
      </rPr>
      <t xml:space="preserve"> l: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</si>
</sst>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"/>
    <numFmt numFmtId="166" formatCode="0.000"/>
    <numFmt numFmtId="167" formatCode="#,##0.000"/>
    <numFmt numFmtId="168" formatCode="\x\(0.000\)"/>
    <numFmt numFmtId="169" formatCode="&quot;$&quot;#,##0.000"/>
    <numFmt numFmtId="170" formatCode="\(&quot;$&quot;#,##0.00\)\x"/>
    <numFmt numFmtId="171" formatCode="#,##0.0"/>
    <numFmt numFmtId="172" formatCode="\(#,##0.00\)\x"/>
    <numFmt numFmtId="173" formatCode="\=\ 0.0000"/>
    <numFmt numFmtId="174" formatCode="0.0000"/>
    <numFmt numFmtId="175" formatCode="\=\ \(0.0000\)\÷"/>
    <numFmt numFmtId="176" formatCode="\(&quot;$&quot;#,##0.00\)\ \="/>
    <numFmt numFmtId="177" formatCode="#,##0.0000"/>
    <numFmt numFmtId="178" formatCode="#,##0.0000000000000000"/>
    <numFmt numFmtId="179" formatCode="\(#,##0.00\)\ \="/>
    <numFmt numFmtId="180" formatCode="\ \=\ %0.00"/>
    <numFmt numFmtId="181" formatCode="0.0"/>
    <numFmt numFmtId="182" formatCode="\=\ \(0.00\)\÷"/>
    <numFmt numFmtId="183" formatCode="\=\ 0.00"/>
    <numFmt numFmtId="184" formatCode="&quot;$&quot;#,##0.00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2"/>
      <name val="Symbol"/>
      <family val="0"/>
    </font>
    <font>
      <b/>
      <sz val="10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9" fillId="0" borderId="9" xfId="0" applyFont="1" applyBorder="1" applyAlignment="1">
      <alignment/>
    </xf>
    <xf numFmtId="167" fontId="4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167" fontId="4" fillId="0" borderId="11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7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4" fillId="0" borderId="6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7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164" fontId="4" fillId="0" borderId="0" xfId="0" applyNumberFormat="1" applyFont="1" applyAlignment="1">
      <alignment horizontal="left"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75" fontId="4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/>
    </xf>
    <xf numFmtId="177" fontId="4" fillId="0" borderId="1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3" fontId="4" fillId="0" borderId="9" xfId="0" applyNumberFormat="1" applyFont="1" applyBorder="1" applyAlignment="1">
      <alignment/>
    </xf>
    <xf numFmtId="179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/>
    </xf>
    <xf numFmtId="2" fontId="4" fillId="0" borderId="5" xfId="0" applyNumberFormat="1" applyFont="1" applyBorder="1" applyAlignment="1">
      <alignment horizontal="center"/>
    </xf>
    <xf numFmtId="174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81" fontId="4" fillId="0" borderId="16" xfId="0" applyNumberFormat="1" applyFont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181" fontId="4" fillId="0" borderId="1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65" fontId="8" fillId="0" borderId="20" xfId="0" applyNumberFormat="1" applyFont="1" applyBorder="1" applyAlignment="1">
      <alignment/>
    </xf>
    <xf numFmtId="10" fontId="8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0" fontId="8" fillId="0" borderId="20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0" fontId="8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0" fontId="8" fillId="0" borderId="21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0" fontId="8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0" fontId="8" fillId="0" borderId="17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center"/>
    </xf>
    <xf numFmtId="10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174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74" fontId="8" fillId="0" borderId="20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174" fontId="8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Pricing of Food Stamps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0995"/>
          <c:w val="0.948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Sheet1!$D$183</c:f>
              <c:strCache>
                <c:ptCount val="1"/>
                <c:pt idx="0">
                  <c:v>Base Utility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Sheet1!$C$184:$C$219</c:f>
              <c:numCache/>
            </c:numRef>
          </c:cat>
          <c:val>
            <c:numRef>
              <c:f>Sheet1!$D$184:$D$219</c:f>
              <c:numCache/>
            </c:numRef>
          </c:val>
          <c:smooth val="0"/>
        </c:ser>
        <c:ser>
          <c:idx val="1"/>
          <c:order val="1"/>
          <c:tx>
            <c:strRef>
              <c:f>Sheet1!$E$183</c:f>
              <c:strCache>
                <c:ptCount val="1"/>
                <c:pt idx="0">
                  <c:v>Cash Utility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Sheet1!$C$184:$C$219</c:f>
              <c:numCache/>
            </c:numRef>
          </c:cat>
          <c:val>
            <c:numRef>
              <c:f>Sheet1!$E$184:$E$219</c:f>
              <c:numCache/>
            </c:numRef>
          </c:val>
          <c:smooth val="0"/>
        </c:ser>
        <c:ser>
          <c:idx val="2"/>
          <c:order val="2"/>
          <c:tx>
            <c:strRef>
              <c:f>Sheet1!$F$183</c:f>
              <c:strCache>
                <c:ptCount val="1"/>
                <c:pt idx="0">
                  <c:v>Food Stamp Utility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Sheet1!$C$184:$C$219</c:f>
              <c:numCache/>
            </c:numRef>
          </c:cat>
          <c:val>
            <c:numRef>
              <c:f>Sheet1!$F$184:$F$219</c:f>
              <c:numCache/>
            </c:numRef>
          </c:val>
          <c:smooth val="0"/>
        </c:ser>
        <c:ser>
          <c:idx val="3"/>
          <c:order val="3"/>
          <c:tx>
            <c:strRef>
              <c:f>Sheet1!$G$183</c:f>
              <c:strCache>
                <c:ptCount val="1"/>
                <c:pt idx="0">
                  <c:v>Base Budget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Sheet1!$C$184:$C$219</c:f>
              <c:numCache/>
            </c:numRef>
          </c:cat>
          <c:val>
            <c:numRef>
              <c:f>Sheet1!$G$184:$G$219</c:f>
              <c:numCache/>
            </c:numRef>
          </c:val>
          <c:smooth val="0"/>
        </c:ser>
        <c:ser>
          <c:idx val="4"/>
          <c:order val="4"/>
          <c:tx>
            <c:strRef>
              <c:f>Sheet1!$H$183</c:f>
              <c:strCache>
                <c:ptCount val="1"/>
                <c:pt idx="0">
                  <c:v>Cash Budget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Sheet1!$C$184:$C$219</c:f>
              <c:numCache/>
            </c:numRef>
          </c:cat>
          <c:val>
            <c:numRef>
              <c:f>Sheet1!$H$184:$H$219</c:f>
              <c:numCache/>
            </c:numRef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21677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183</xdr:row>
      <xdr:rowOff>0</xdr:rowOff>
    </xdr:from>
    <xdr:to>
      <xdr:col>9</xdr:col>
      <xdr:colOff>447675</xdr:colOff>
      <xdr:row>241</xdr:row>
      <xdr:rowOff>66675</xdr:rowOff>
    </xdr:to>
    <xdr:graphicFrame>
      <xdr:nvGraphicFramePr>
        <xdr:cNvPr id="1" name="Chart 3"/>
        <xdr:cNvGraphicFramePr/>
      </xdr:nvGraphicFramePr>
      <xdr:xfrm>
        <a:off x="1247775" y="3228975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 topLeftCell="A1">
      <selection activeCell="B5" sqref="B5"/>
    </sheetView>
  </sheetViews>
  <sheetFormatPr defaultColWidth="11.421875" defaultRowHeight="12"/>
  <cols>
    <col min="1" max="1" width="6.8515625" style="13" customWidth="1"/>
    <col min="2" max="2" width="12.00390625" style="13" customWidth="1"/>
    <col min="3" max="3" width="11.8515625" style="1" bestFit="1" customWidth="1"/>
    <col min="4" max="4" width="14.00390625" style="10" customWidth="1"/>
    <col min="5" max="5" width="12.57421875" style="1" bestFit="1" customWidth="1"/>
    <col min="6" max="6" width="15.8515625" style="1" customWidth="1"/>
    <col min="7" max="7" width="13.8515625" style="1" customWidth="1"/>
    <col min="8" max="8" width="15.00390625" style="1" customWidth="1"/>
    <col min="9" max="9" width="14.57421875" style="1" bestFit="1" customWidth="1"/>
    <col min="10" max="10" width="11.140625" style="1" bestFit="1" customWidth="1"/>
    <col min="11" max="11" width="6.8515625" style="1" customWidth="1"/>
    <col min="12" max="12" width="7.00390625" style="1" customWidth="1"/>
    <col min="13" max="13" width="4.57421875" style="1" customWidth="1"/>
    <col min="14" max="14" width="7.140625" style="1" customWidth="1"/>
    <col min="15" max="15" width="4.8515625" style="1" customWidth="1"/>
    <col min="16" max="16384" width="11.00390625" style="1" customWidth="1"/>
  </cols>
  <sheetData>
    <row r="1" ht="24">
      <c r="F1" s="3" t="s">
        <v>175</v>
      </c>
    </row>
    <row r="2" ht="13.5">
      <c r="F2" s="2" t="s">
        <v>176</v>
      </c>
    </row>
    <row r="3" ht="13.5">
      <c r="F3" s="2" t="s">
        <v>177</v>
      </c>
    </row>
    <row r="4" spans="2:11" ht="13.5">
      <c r="B4" s="13" t="s">
        <v>179</v>
      </c>
      <c r="K4" s="4" t="s">
        <v>178</v>
      </c>
    </row>
    <row r="5" ht="15" thickBot="1"/>
    <row r="6" spans="3:10" ht="15" thickBot="1">
      <c r="C6" s="7"/>
      <c r="D6" s="11"/>
      <c r="E6" s="6"/>
      <c r="F6" s="5" t="s">
        <v>63</v>
      </c>
      <c r="G6" s="6"/>
      <c r="H6" s="8"/>
      <c r="I6" s="8"/>
      <c r="J6" s="9"/>
    </row>
    <row r="7" spans="1:9" ht="13.5">
      <c r="A7" s="98" t="s">
        <v>168</v>
      </c>
      <c r="B7" s="97" t="s">
        <v>169</v>
      </c>
      <c r="C7" s="51"/>
      <c r="D7" s="94"/>
      <c r="E7" s="95"/>
      <c r="F7" s="96"/>
      <c r="G7" s="95"/>
      <c r="H7" s="51"/>
      <c r="I7" s="51"/>
    </row>
    <row r="8" spans="3:5" ht="13.5">
      <c r="C8" s="13" t="s">
        <v>180</v>
      </c>
      <c r="D8" s="1"/>
      <c r="E8" s="10"/>
    </row>
    <row r="9" spans="3:5" ht="13.5">
      <c r="C9" s="13" t="s">
        <v>181</v>
      </c>
      <c r="D9" s="1"/>
      <c r="E9" s="10"/>
    </row>
    <row r="10" spans="3:5" ht="13.5">
      <c r="C10" s="13" t="s">
        <v>182</v>
      </c>
      <c r="D10" s="1"/>
      <c r="E10" s="10"/>
    </row>
    <row r="11" spans="3:5" ht="13.5">
      <c r="C11" s="13" t="s">
        <v>183</v>
      </c>
      <c r="D11" s="1"/>
      <c r="E11" s="10"/>
    </row>
    <row r="12" spans="3:5" ht="13.5">
      <c r="C12" s="13" t="s">
        <v>184</v>
      </c>
      <c r="D12" s="1"/>
      <c r="E12" s="12"/>
    </row>
    <row r="13" spans="3:5" ht="13.5">
      <c r="C13" s="13" t="s">
        <v>185</v>
      </c>
      <c r="D13" s="1"/>
      <c r="E13" s="12"/>
    </row>
    <row r="14" spans="3:5" ht="13.5">
      <c r="C14" s="13" t="s">
        <v>186</v>
      </c>
      <c r="D14" s="1"/>
      <c r="E14" s="12"/>
    </row>
    <row r="15" spans="3:5" ht="13.5">
      <c r="C15" s="13" t="s">
        <v>187</v>
      </c>
      <c r="D15" s="1"/>
      <c r="E15" s="12"/>
    </row>
    <row r="16" spans="3:5" ht="13.5">
      <c r="C16" s="13" t="s">
        <v>188</v>
      </c>
      <c r="D16" s="1"/>
      <c r="E16" s="10"/>
    </row>
    <row r="17" spans="3:5" ht="13.5">
      <c r="C17" s="13" t="s">
        <v>189</v>
      </c>
      <c r="D17" s="1"/>
      <c r="E17" s="10"/>
    </row>
    <row r="18" spans="3:5" ht="13.5">
      <c r="C18" s="13" t="s">
        <v>190</v>
      </c>
      <c r="D18" s="1"/>
      <c r="E18" s="10"/>
    </row>
    <row r="19" spans="3:5" ht="13.5">
      <c r="C19" s="13" t="s">
        <v>191</v>
      </c>
      <c r="D19" s="1"/>
      <c r="E19" s="10"/>
    </row>
    <row r="20" spans="3:5" ht="13.5">
      <c r="C20" s="13" t="s">
        <v>192</v>
      </c>
      <c r="D20" s="1"/>
      <c r="E20" s="10"/>
    </row>
    <row r="21" spans="3:5" ht="13.5">
      <c r="C21" s="13" t="s">
        <v>193</v>
      </c>
      <c r="D21" s="1"/>
      <c r="E21" s="10"/>
    </row>
    <row r="22" spans="3:5" ht="13.5">
      <c r="C22" s="13" t="s">
        <v>194</v>
      </c>
      <c r="D22" s="1"/>
      <c r="E22" s="10"/>
    </row>
    <row r="23" spans="3:5" ht="13.5">
      <c r="C23" s="13" t="s">
        <v>195</v>
      </c>
      <c r="D23" s="1"/>
      <c r="E23" s="10"/>
    </row>
    <row r="24" spans="3:5" ht="13.5">
      <c r="C24" s="13" t="s">
        <v>196</v>
      </c>
      <c r="D24" s="1"/>
      <c r="E24" s="10"/>
    </row>
    <row r="25" spans="3:5" ht="13.5">
      <c r="C25" s="13" t="s">
        <v>197</v>
      </c>
      <c r="D25" s="1"/>
      <c r="E25" s="10"/>
    </row>
    <row r="26" spans="3:5" ht="13.5">
      <c r="C26" s="13" t="s">
        <v>198</v>
      </c>
      <c r="D26" s="1"/>
      <c r="E26" s="10"/>
    </row>
    <row r="27" spans="3:5" ht="13.5">
      <c r="C27" s="13" t="s">
        <v>199</v>
      </c>
      <c r="D27" s="1"/>
      <c r="E27" s="10"/>
    </row>
    <row r="28" spans="3:5" ht="13.5">
      <c r="C28" s="13" t="s">
        <v>164</v>
      </c>
      <c r="D28" s="1"/>
      <c r="E28" s="10"/>
    </row>
    <row r="29" spans="1:2" ht="13.5">
      <c r="A29" s="98" t="s">
        <v>170</v>
      </c>
      <c r="B29" s="97" t="s">
        <v>171</v>
      </c>
    </row>
    <row r="30" spans="2:5" ht="15" thickBot="1">
      <c r="B30" s="1"/>
      <c r="C30" s="10"/>
      <c r="D30" s="1"/>
      <c r="E30" s="1" t="s">
        <v>203</v>
      </c>
    </row>
    <row r="31" spans="2:7" ht="15" thickBot="1">
      <c r="B31" s="1"/>
      <c r="C31" s="10" t="s">
        <v>200</v>
      </c>
      <c r="D31" s="22">
        <v>250</v>
      </c>
      <c r="E31" s="16"/>
      <c r="F31" s="92">
        <v>0.25</v>
      </c>
      <c r="G31" s="18">
        <v>0.75</v>
      </c>
    </row>
    <row r="32" spans="2:9" ht="15" thickBot="1">
      <c r="B32" s="1"/>
      <c r="C32" s="10" t="s">
        <v>201</v>
      </c>
      <c r="D32" s="22">
        <v>5</v>
      </c>
      <c r="E32" s="19" t="s">
        <v>204</v>
      </c>
      <c r="F32" s="20" t="s">
        <v>205</v>
      </c>
      <c r="G32" s="21" t="s">
        <v>206</v>
      </c>
      <c r="H32" s="1" t="s">
        <v>136</v>
      </c>
      <c r="I32" s="1" t="s">
        <v>110</v>
      </c>
    </row>
    <row r="33" spans="2:9" ht="15" thickBot="1">
      <c r="B33" s="1"/>
      <c r="C33" s="10" t="s">
        <v>202</v>
      </c>
      <c r="D33" s="22">
        <v>10</v>
      </c>
      <c r="H33" s="10" t="s">
        <v>207</v>
      </c>
      <c r="I33" s="1" t="s">
        <v>111</v>
      </c>
    </row>
    <row r="34" ht="13.5">
      <c r="B34" s="13" t="s">
        <v>208</v>
      </c>
    </row>
    <row r="35" ht="13.5">
      <c r="B35" s="13" t="s">
        <v>209</v>
      </c>
    </row>
    <row r="36" ht="13.5">
      <c r="B36" s="13" t="s">
        <v>210</v>
      </c>
    </row>
    <row r="37" ht="13.5">
      <c r="B37" s="13" t="s">
        <v>211</v>
      </c>
    </row>
    <row r="39" spans="3:4" ht="13.5">
      <c r="C39" s="24">
        <f>$F$31</f>
        <v>0.25</v>
      </c>
      <c r="D39" s="25">
        <f>$G$31</f>
        <v>0.75</v>
      </c>
    </row>
    <row r="40" spans="1:10" ht="18">
      <c r="A40" s="13">
        <v>1</v>
      </c>
      <c r="B40" s="30" t="s">
        <v>212</v>
      </c>
      <c r="C40" s="26" t="str">
        <f>$F$32</f>
        <v>F</v>
      </c>
      <c r="D40" s="27" t="str">
        <f>$G$32</f>
        <v>N</v>
      </c>
      <c r="E40" s="15" t="s">
        <v>214</v>
      </c>
      <c r="F40" s="28">
        <f>D32</f>
        <v>5</v>
      </c>
      <c r="G40" s="1" t="s">
        <v>62</v>
      </c>
      <c r="H40" s="14">
        <f>D33</f>
        <v>10</v>
      </c>
      <c r="I40" s="1" t="s">
        <v>215</v>
      </c>
      <c r="J40" s="29">
        <f>-$D$31</f>
        <v>-250</v>
      </c>
    </row>
    <row r="42" ht="18.75" thickBot="1">
      <c r="B42" s="13" t="s">
        <v>216</v>
      </c>
    </row>
    <row r="43" spans="2:9" ht="13.5">
      <c r="B43" s="32"/>
      <c r="C43" s="33"/>
      <c r="D43" s="17">
        <f>$C$39-1</f>
        <v>-0.75</v>
      </c>
      <c r="E43" s="33">
        <f>$D$39</f>
        <v>0.75</v>
      </c>
      <c r="F43" s="33"/>
      <c r="G43" s="33"/>
      <c r="H43" s="33"/>
      <c r="I43" s="34"/>
    </row>
    <row r="44" spans="1:9" ht="18.75" thickBot="1">
      <c r="A44" s="13">
        <v>2</v>
      </c>
      <c r="B44" s="35" t="s">
        <v>117</v>
      </c>
      <c r="C44" s="20">
        <f>$C$39</f>
        <v>0.25</v>
      </c>
      <c r="D44" s="36" t="str">
        <f>$C$40</f>
        <v>F</v>
      </c>
      <c r="E44" s="20" t="str">
        <f>$D$40</f>
        <v>N</v>
      </c>
      <c r="F44" s="37" t="s">
        <v>116</v>
      </c>
      <c r="G44" s="38">
        <f>$D$32</f>
        <v>5</v>
      </c>
      <c r="H44" s="39" t="s">
        <v>122</v>
      </c>
      <c r="I44" s="40">
        <v>0</v>
      </c>
    </row>
    <row r="45" spans="2:9" ht="13.5">
      <c r="B45" s="32"/>
      <c r="C45" s="33"/>
      <c r="D45" s="17">
        <f>$C$39</f>
        <v>0.25</v>
      </c>
      <c r="E45" s="33">
        <f>$D$39-1</f>
        <v>-0.25</v>
      </c>
      <c r="F45" s="33"/>
      <c r="G45" s="33"/>
      <c r="H45" s="33"/>
      <c r="I45" s="34"/>
    </row>
    <row r="46" spans="1:9" ht="18.75" thickBot="1">
      <c r="A46" s="13">
        <v>3</v>
      </c>
      <c r="B46" s="35" t="s">
        <v>120</v>
      </c>
      <c r="C46" s="20">
        <f>$D$39</f>
        <v>0.75</v>
      </c>
      <c r="D46" s="36" t="str">
        <f>$C$40</f>
        <v>F</v>
      </c>
      <c r="E46" s="20" t="str">
        <f>$D$40</f>
        <v>N</v>
      </c>
      <c r="F46" s="37" t="s">
        <v>119</v>
      </c>
      <c r="G46" s="38">
        <f>$D$33</f>
        <v>10</v>
      </c>
      <c r="H46" s="39" t="s">
        <v>122</v>
      </c>
      <c r="I46" s="40">
        <v>0</v>
      </c>
    </row>
    <row r="47" spans="2:9" ht="13.5">
      <c r="B47" s="41"/>
      <c r="C47" s="33"/>
      <c r="D47" s="42"/>
      <c r="E47" s="33"/>
      <c r="F47" s="33"/>
      <c r="G47" s="33"/>
      <c r="H47" s="33"/>
      <c r="I47" s="34"/>
    </row>
    <row r="48" spans="1:9" ht="18.75" thickBot="1">
      <c r="A48" s="13">
        <v>4</v>
      </c>
      <c r="B48" s="35" t="s">
        <v>121</v>
      </c>
      <c r="C48" s="38">
        <f>$D$32</f>
        <v>5</v>
      </c>
      <c r="D48" s="36" t="str">
        <f>$C$40</f>
        <v>F</v>
      </c>
      <c r="E48" s="37" t="s">
        <v>213</v>
      </c>
      <c r="F48" s="38">
        <f>$D$33</f>
        <v>10</v>
      </c>
      <c r="G48" s="20" t="s">
        <v>206</v>
      </c>
      <c r="H48" s="20" t="s">
        <v>123</v>
      </c>
      <c r="I48" s="40">
        <v>0</v>
      </c>
    </row>
    <row r="49" ht="15" thickBot="1">
      <c r="B49" s="13" t="s">
        <v>124</v>
      </c>
    </row>
    <row r="50" spans="2:11" ht="13.5">
      <c r="B50" s="16"/>
      <c r="C50" s="17">
        <f>D43</f>
        <v>-0.75</v>
      </c>
      <c r="D50" s="17">
        <f>E43</f>
        <v>0.75</v>
      </c>
      <c r="E50" s="33"/>
      <c r="F50" s="33"/>
      <c r="G50" s="34"/>
      <c r="H50" s="16"/>
      <c r="I50" s="17">
        <f>$D$43</f>
        <v>-0.75</v>
      </c>
      <c r="J50" s="17">
        <f>$E$43</f>
        <v>0.75</v>
      </c>
      <c r="K50" s="34"/>
    </row>
    <row r="51" spans="1:11" ht="18.75" thickBot="1">
      <c r="A51" s="31" t="s">
        <v>128</v>
      </c>
      <c r="B51" s="43">
        <f>C44</f>
        <v>0.25</v>
      </c>
      <c r="C51" s="20" t="str">
        <f>D44</f>
        <v>F</v>
      </c>
      <c r="D51" s="20" t="str">
        <f>E44</f>
        <v>N</v>
      </c>
      <c r="E51" s="20" t="s">
        <v>125</v>
      </c>
      <c r="F51" s="38">
        <f>-$G$44</f>
        <v>-5</v>
      </c>
      <c r="G51" s="44" t="s">
        <v>127</v>
      </c>
      <c r="H51" s="45">
        <f>$B$51/-$F$51</f>
        <v>0.05</v>
      </c>
      <c r="I51" s="20" t="str">
        <f>$D$44</f>
        <v>F</v>
      </c>
      <c r="J51" s="20" t="str">
        <f>$E$44</f>
        <v>N</v>
      </c>
      <c r="K51" s="21" t="s">
        <v>126</v>
      </c>
    </row>
    <row r="52" spans="1:11" ht="13.5">
      <c r="A52" s="31"/>
      <c r="B52" s="32"/>
      <c r="C52" s="33">
        <f>D45</f>
        <v>0.25</v>
      </c>
      <c r="D52" s="33">
        <f>E45</f>
        <v>-0.25</v>
      </c>
      <c r="E52" s="33"/>
      <c r="F52" s="33"/>
      <c r="G52" s="34"/>
      <c r="H52" s="16"/>
      <c r="I52" s="17">
        <f>$D$45</f>
        <v>0.25</v>
      </c>
      <c r="J52" s="17">
        <f>$E$45</f>
        <v>-0.25</v>
      </c>
      <c r="K52" s="34"/>
    </row>
    <row r="53" spans="1:11" ht="18.75" thickBot="1">
      <c r="A53" s="31" t="s">
        <v>129</v>
      </c>
      <c r="B53" s="46">
        <f>C46</f>
        <v>0.75</v>
      </c>
      <c r="C53" s="47" t="str">
        <f>D46</f>
        <v>F</v>
      </c>
      <c r="D53" s="47" t="str">
        <f>E46</f>
        <v>N</v>
      </c>
      <c r="E53" s="20" t="s">
        <v>125</v>
      </c>
      <c r="F53" s="38">
        <f>-$G$46</f>
        <v>-10</v>
      </c>
      <c r="G53" s="44" t="s">
        <v>127</v>
      </c>
      <c r="H53" s="45">
        <f>B53/-F53</f>
        <v>0.075</v>
      </c>
      <c r="I53" s="20" t="str">
        <f>$D$46</f>
        <v>F</v>
      </c>
      <c r="J53" s="20" t="str">
        <f>$E$46</f>
        <v>N</v>
      </c>
      <c r="K53" s="21" t="s">
        <v>126</v>
      </c>
    </row>
    <row r="54" ht="13.5">
      <c r="B54" s="13" t="s">
        <v>130</v>
      </c>
    </row>
    <row r="55" ht="13.5">
      <c r="B55" s="13" t="s">
        <v>131</v>
      </c>
    </row>
    <row r="56" spans="2:12" ht="13.5">
      <c r="B56" s="129">
        <f>-$D$43</f>
        <v>0.75</v>
      </c>
      <c r="C56" s="25">
        <f>1-$E$43</f>
        <v>0.25</v>
      </c>
      <c r="D56" s="50"/>
      <c r="E56" s="128">
        <f>$I$50</f>
        <v>-0.75</v>
      </c>
      <c r="F56" s="25">
        <f>$J$50</f>
        <v>0.75</v>
      </c>
      <c r="G56" s="51"/>
      <c r="H56" s="129">
        <f>$B$56</f>
        <v>0.75</v>
      </c>
      <c r="I56" s="25">
        <f>$C$56</f>
        <v>0.25</v>
      </c>
      <c r="J56" s="26"/>
      <c r="K56" s="51">
        <f>$I$52</f>
        <v>0.25</v>
      </c>
      <c r="L56" s="127">
        <f>$J$52</f>
        <v>-0.25</v>
      </c>
    </row>
    <row r="57" spans="1:12" ht="13.5">
      <c r="A57" s="13">
        <v>5</v>
      </c>
      <c r="B57" s="49" t="str">
        <f>$C$40</f>
        <v>F</v>
      </c>
      <c r="C57" s="48" t="str">
        <f>$D$40</f>
        <v>N</v>
      </c>
      <c r="D57" s="52">
        <f>$H$51</f>
        <v>0.05</v>
      </c>
      <c r="E57" s="51" t="str">
        <f>$I$51</f>
        <v>F</v>
      </c>
      <c r="F57" s="48" t="str">
        <f>$J$51</f>
        <v>N</v>
      </c>
      <c r="G57" s="51" t="s">
        <v>132</v>
      </c>
      <c r="H57" s="49" t="str">
        <f>$B$57</f>
        <v>F</v>
      </c>
      <c r="I57" s="48" t="str">
        <f>$C$57</f>
        <v>N</v>
      </c>
      <c r="J57" s="53">
        <f>$H$53</f>
        <v>0.075</v>
      </c>
      <c r="K57" s="51" t="str">
        <f>$I$53</f>
        <v>F</v>
      </c>
      <c r="L57" s="48" t="str">
        <f>$J$53</f>
        <v>N</v>
      </c>
    </row>
    <row r="58" ht="15" thickBot="1">
      <c r="B58" s="13" t="s">
        <v>133</v>
      </c>
    </row>
    <row r="59" spans="1:11" ht="15" thickBot="1">
      <c r="A59" s="13">
        <v>6</v>
      </c>
      <c r="B59" s="54">
        <f>$D$57</f>
        <v>0.05</v>
      </c>
      <c r="C59" s="55" t="s">
        <v>135</v>
      </c>
      <c r="D59" s="56">
        <f>$J$57</f>
        <v>0.075</v>
      </c>
      <c r="E59" s="57" t="s">
        <v>205</v>
      </c>
      <c r="H59" s="10" t="s">
        <v>137</v>
      </c>
      <c r="I59" s="58" t="s">
        <v>207</v>
      </c>
      <c r="J59" s="59">
        <f>$D$59/$B$59</f>
        <v>1.4999999999999998</v>
      </c>
      <c r="K59" s="57" t="s">
        <v>205</v>
      </c>
    </row>
    <row r="60" ht="15" thickBot="1">
      <c r="B60" s="13" t="s">
        <v>160</v>
      </c>
    </row>
    <row r="61" spans="1:8" ht="15" thickBot="1">
      <c r="A61" s="13">
        <v>7</v>
      </c>
      <c r="B61" s="61">
        <f>$G$44</f>
        <v>5</v>
      </c>
      <c r="C61" s="55" t="s">
        <v>138</v>
      </c>
      <c r="D61" s="62">
        <f>$G$46</f>
        <v>10</v>
      </c>
      <c r="E61" s="63">
        <f>$J$59</f>
        <v>1.4999999999999998</v>
      </c>
      <c r="F61" s="33" t="s">
        <v>134</v>
      </c>
      <c r="G61" s="68">
        <f>$D$31</f>
        <v>250</v>
      </c>
      <c r="H61" s="1" t="s">
        <v>139</v>
      </c>
    </row>
    <row r="62" spans="2:8" ht="13.5">
      <c r="B62" s="69"/>
      <c r="C62" s="51"/>
      <c r="D62" s="70"/>
      <c r="E62" s="71"/>
      <c r="F62" s="33"/>
      <c r="G62" s="72"/>
      <c r="H62" s="51"/>
    </row>
    <row r="63" spans="2:8" ht="15" thickBot="1">
      <c r="B63" s="69"/>
      <c r="C63" s="51"/>
      <c r="D63" s="70"/>
      <c r="E63" s="71"/>
      <c r="F63" s="51"/>
      <c r="G63" s="69"/>
      <c r="H63" s="51"/>
    </row>
    <row r="64" spans="1:8" ht="15" thickBot="1">
      <c r="A64" s="13">
        <v>8</v>
      </c>
      <c r="B64" s="14">
        <f>$B$61+($D$61*$E$61)</f>
        <v>20</v>
      </c>
      <c r="C64" s="1" t="s">
        <v>140</v>
      </c>
      <c r="D64" s="60">
        <f>$G$61</f>
        <v>250</v>
      </c>
      <c r="E64" s="67" t="s">
        <v>145</v>
      </c>
      <c r="F64" s="73" t="s">
        <v>146</v>
      </c>
      <c r="G64" s="78">
        <f>$D$64/$B$64</f>
        <v>12.5</v>
      </c>
      <c r="H64" s="1" t="s">
        <v>141</v>
      </c>
    </row>
    <row r="65" spans="1:8" ht="15" thickBot="1">
      <c r="A65" s="13">
        <v>9</v>
      </c>
      <c r="B65" s="74">
        <f>$B$61</f>
        <v>5</v>
      </c>
      <c r="C65" s="75">
        <f>$G$64</f>
        <v>12.5</v>
      </c>
      <c r="D65" s="76" t="s">
        <v>118</v>
      </c>
      <c r="E65" s="77">
        <f>$D$61</f>
        <v>10</v>
      </c>
      <c r="F65" s="55" t="s">
        <v>142</v>
      </c>
      <c r="G65" s="64">
        <f>$G$61</f>
        <v>250</v>
      </c>
      <c r="H65" s="1" t="s">
        <v>143</v>
      </c>
    </row>
    <row r="66" spans="2:7" ht="15" thickBot="1">
      <c r="B66" s="14">
        <f>$E$65</f>
        <v>10</v>
      </c>
      <c r="C66" s="1" t="s">
        <v>207</v>
      </c>
      <c r="D66" s="66">
        <f>$G$65-($B$65*$C$65)</f>
        <v>187.5</v>
      </c>
      <c r="E66" s="10" t="s">
        <v>144</v>
      </c>
      <c r="F66" s="19" t="s">
        <v>147</v>
      </c>
      <c r="G66" s="79">
        <f>$D$66/$B$66</f>
        <v>18.75</v>
      </c>
    </row>
    <row r="67" spans="2:7" ht="13.5">
      <c r="B67" s="14"/>
      <c r="D67" s="66"/>
      <c r="E67" s="10"/>
      <c r="F67" s="94"/>
      <c r="G67" s="126"/>
    </row>
    <row r="68" ht="13.5">
      <c r="B68" s="13" t="s">
        <v>155</v>
      </c>
    </row>
    <row r="69" ht="15" thickBot="1">
      <c r="B69" s="13" t="s">
        <v>158</v>
      </c>
    </row>
    <row r="70" spans="2:6" ht="13.5">
      <c r="B70" s="32"/>
      <c r="C70" s="17">
        <f>$C$39</f>
        <v>0.25</v>
      </c>
      <c r="D70" s="17">
        <f>$D$39</f>
        <v>0.75</v>
      </c>
      <c r="E70" s="33"/>
      <c r="F70" s="34"/>
    </row>
    <row r="71" spans="1:7" ht="15" thickBot="1">
      <c r="A71" s="13">
        <v>10</v>
      </c>
      <c r="B71" s="35" t="s">
        <v>204</v>
      </c>
      <c r="C71" s="36">
        <f>$G$64</f>
        <v>12.5</v>
      </c>
      <c r="D71" s="36">
        <f>$G$66</f>
        <v>18.75</v>
      </c>
      <c r="E71" s="20" t="s">
        <v>148</v>
      </c>
      <c r="F71" s="93">
        <f>($C$71^$C$70)*($D$71^$D$70)</f>
        <v>16.942537567684592</v>
      </c>
      <c r="G71" s="1" t="s">
        <v>156</v>
      </c>
    </row>
    <row r="72" ht="13.5">
      <c r="B72" s="13" t="s">
        <v>157</v>
      </c>
    </row>
    <row r="73" ht="15" thickBot="1">
      <c r="B73" s="13" t="s">
        <v>159</v>
      </c>
    </row>
    <row r="74" spans="2:7" ht="13.5">
      <c r="B74" s="32"/>
      <c r="C74" s="33"/>
      <c r="D74" s="42"/>
      <c r="E74" s="17">
        <f>$D$43</f>
        <v>-0.75</v>
      </c>
      <c r="F74" s="17">
        <f>$E$43</f>
        <v>0.75</v>
      </c>
      <c r="G74" s="34"/>
    </row>
    <row r="75" spans="1:7" ht="15" thickBot="1">
      <c r="A75" s="13">
        <v>11</v>
      </c>
      <c r="B75" s="86"/>
      <c r="C75" s="87" t="s">
        <v>150</v>
      </c>
      <c r="D75" s="88">
        <f>$C$44</f>
        <v>0.25</v>
      </c>
      <c r="E75" s="36">
        <f>$G$64</f>
        <v>12.5</v>
      </c>
      <c r="F75" s="36">
        <f>$G$66</f>
        <v>18.75</v>
      </c>
      <c r="G75" s="89">
        <f>($D$75)*($E$75^$E$74)*($F$75^$F$74)</f>
        <v>0.3388507513536918</v>
      </c>
    </row>
    <row r="76" spans="2:7" ht="13.5">
      <c r="B76" s="32"/>
      <c r="C76" s="33"/>
      <c r="D76" s="42"/>
      <c r="E76" s="17">
        <f>$D$45</f>
        <v>0.25</v>
      </c>
      <c r="F76" s="17">
        <f>$E$45</f>
        <v>-0.25</v>
      </c>
      <c r="G76" s="34"/>
    </row>
    <row r="77" spans="1:8" ht="15" thickBot="1">
      <c r="A77" s="13">
        <v>12</v>
      </c>
      <c r="B77" s="86"/>
      <c r="C77" s="87" t="s">
        <v>149</v>
      </c>
      <c r="D77" s="88">
        <f>$C$46</f>
        <v>0.75</v>
      </c>
      <c r="E77" s="36">
        <f>$G$64</f>
        <v>12.5</v>
      </c>
      <c r="F77" s="36">
        <f>$G$66</f>
        <v>18.75</v>
      </c>
      <c r="G77" s="89">
        <f>($D$77)*($E$77^$E$76)*($F$77^$F$76)</f>
        <v>0.6777015027073837</v>
      </c>
      <c r="H77" s="1" t="s">
        <v>153</v>
      </c>
    </row>
    <row r="78" ht="15" thickBot="1">
      <c r="B78" s="13" t="s">
        <v>154</v>
      </c>
    </row>
    <row r="79" spans="1:6" ht="15" thickBot="1">
      <c r="A79" s="13">
        <v>13</v>
      </c>
      <c r="B79" s="81"/>
      <c r="C79" s="82" t="s">
        <v>151</v>
      </c>
      <c r="D79" s="83">
        <f>$G$75</f>
        <v>0.3388507513536918</v>
      </c>
      <c r="E79" s="84">
        <f>$D$32</f>
        <v>5</v>
      </c>
      <c r="F79" s="85">
        <f>$D$79/$E$79</f>
        <v>0.06777015027073836</v>
      </c>
    </row>
    <row r="80" spans="1:7" ht="15" thickBot="1">
      <c r="A80" s="13">
        <v>14</v>
      </c>
      <c r="B80" s="81"/>
      <c r="C80" s="59" t="s">
        <v>152</v>
      </c>
      <c r="D80" s="83">
        <f>$G$77</f>
        <v>0.6777015027073837</v>
      </c>
      <c r="E80" s="84">
        <f>$D$33</f>
        <v>10</v>
      </c>
      <c r="F80" s="85">
        <f>$D$80/$E$80</f>
        <v>0.06777015027073838</v>
      </c>
      <c r="G80" s="1" t="s">
        <v>161</v>
      </c>
    </row>
    <row r="81" ht="13.5">
      <c r="B81" s="13" t="s">
        <v>163</v>
      </c>
    </row>
    <row r="82" spans="3:6" ht="13.5">
      <c r="C82" s="65">
        <f>$D$32</f>
        <v>5</v>
      </c>
      <c r="D82" s="90">
        <f>$G$64</f>
        <v>12.5</v>
      </c>
      <c r="E82" s="14">
        <f>$C$82*$D$82</f>
        <v>62.5</v>
      </c>
      <c r="F82" s="91">
        <f>$E$82/$E$84</f>
        <v>0.25</v>
      </c>
    </row>
    <row r="83" spans="3:6" ht="13.5">
      <c r="C83" s="65">
        <f>$D$33</f>
        <v>10</v>
      </c>
      <c r="D83" s="90">
        <f>$G$66</f>
        <v>18.75</v>
      </c>
      <c r="E83" s="14">
        <f>$C$83*$D$83</f>
        <v>187.5</v>
      </c>
      <c r="F83" s="91">
        <f>$E$83/$E$84</f>
        <v>0.75</v>
      </c>
    </row>
    <row r="84" spans="4:6" ht="13.5">
      <c r="D84" s="10" t="s">
        <v>162</v>
      </c>
      <c r="E84" s="14">
        <f>SUM(E82:E83)</f>
        <v>250</v>
      </c>
      <c r="F84" s="91">
        <f>SUM(F82:F83)</f>
        <v>1</v>
      </c>
    </row>
    <row r="85" ht="13.5">
      <c r="B85" s="13" t="s">
        <v>165</v>
      </c>
    </row>
    <row r="86" ht="13.5">
      <c r="B86" s="13" t="s">
        <v>166</v>
      </c>
    </row>
    <row r="87" ht="13.5">
      <c r="B87" s="13" t="s">
        <v>167</v>
      </c>
    </row>
    <row r="88" spans="1:2" ht="13.5">
      <c r="A88" s="98" t="s">
        <v>172</v>
      </c>
      <c r="B88" s="97" t="s">
        <v>173</v>
      </c>
    </row>
    <row r="89" ht="13.5">
      <c r="B89" s="13" t="s">
        <v>174</v>
      </c>
    </row>
    <row r="90" ht="13.5">
      <c r="B90" s="13" t="s">
        <v>76</v>
      </c>
    </row>
    <row r="91" ht="13.5">
      <c r="B91" s="13" t="s">
        <v>77</v>
      </c>
    </row>
    <row r="92" ht="13.5">
      <c r="B92" s="13" t="s">
        <v>79</v>
      </c>
    </row>
    <row r="93" spans="2:6" ht="15" thickBot="1">
      <c r="B93" s="13" t="s">
        <v>80</v>
      </c>
      <c r="E93" s="37">
        <v>210</v>
      </c>
      <c r="F93" s="1" t="s">
        <v>81</v>
      </c>
    </row>
    <row r="94" spans="2:6" ht="15" thickBot="1">
      <c r="B94" s="13" t="s">
        <v>82</v>
      </c>
      <c r="E94" s="37">
        <v>78.5</v>
      </c>
      <c r="F94" s="1" t="s">
        <v>83</v>
      </c>
    </row>
    <row r="95" spans="2:5" ht="15" thickBot="1">
      <c r="B95" s="110">
        <v>3000</v>
      </c>
      <c r="C95" s="1" t="s">
        <v>89</v>
      </c>
      <c r="E95" s="15"/>
    </row>
    <row r="96" spans="2:8" ht="15" thickBot="1">
      <c r="B96" s="109" t="s">
        <v>90</v>
      </c>
      <c r="D96" s="111">
        <f>$E$94*($G$64*$E$93)/$B$95</f>
        <v>68.6875</v>
      </c>
      <c r="E96" s="23" t="s">
        <v>91</v>
      </c>
      <c r="G96" s="112">
        <f>$D$96/$E$94</f>
        <v>0.875</v>
      </c>
      <c r="H96" s="1" t="s">
        <v>92</v>
      </c>
    </row>
    <row r="97" spans="2:6" ht="13.5">
      <c r="B97" s="99"/>
      <c r="D97" s="135" t="s">
        <v>86</v>
      </c>
      <c r="E97" s="135" t="s">
        <v>88</v>
      </c>
      <c r="F97" s="135" t="s">
        <v>84</v>
      </c>
    </row>
    <row r="98" spans="4:6" ht="15" thickBot="1">
      <c r="D98" s="136" t="s">
        <v>87</v>
      </c>
      <c r="E98" s="136" t="s">
        <v>78</v>
      </c>
      <c r="F98" s="136" t="s">
        <v>85</v>
      </c>
    </row>
    <row r="99" spans="4:6" ht="13.5">
      <c r="D99" s="100">
        <v>5</v>
      </c>
      <c r="E99" s="103">
        <f>D99*$E$93</f>
        <v>1050</v>
      </c>
      <c r="F99" s="106">
        <f>(E99/$B$95)*$E$94</f>
        <v>27.474999999999998</v>
      </c>
    </row>
    <row r="100" spans="4:6" ht="13.5">
      <c r="D100" s="101">
        <v>7.5</v>
      </c>
      <c r="E100" s="104">
        <f>D100*$E$93</f>
        <v>1575</v>
      </c>
      <c r="F100" s="107">
        <f>(E100/$B$95)*$E$94</f>
        <v>41.2125</v>
      </c>
    </row>
    <row r="101" spans="4:6" ht="13.5">
      <c r="D101" s="101">
        <v>10</v>
      </c>
      <c r="E101" s="104">
        <f>D101*$E$93</f>
        <v>2100</v>
      </c>
      <c r="F101" s="107">
        <f>(E101/$B$95)*$E$94</f>
        <v>54.949999999999996</v>
      </c>
    </row>
    <row r="102" spans="4:6" ht="13.5">
      <c r="D102" s="101">
        <v>12.5</v>
      </c>
      <c r="E102" s="104">
        <f>D102*$E$93</f>
        <v>2625</v>
      </c>
      <c r="F102" s="107">
        <f>(E102/$B$95)*$E$94</f>
        <v>68.6875</v>
      </c>
    </row>
    <row r="103" spans="4:6" ht="13.5">
      <c r="D103" s="101">
        <v>15</v>
      </c>
      <c r="E103" s="104">
        <f>D103*$E$93</f>
        <v>3150</v>
      </c>
      <c r="F103" s="107">
        <f>(E103/$B$95)*$E$94</f>
        <v>82.425</v>
      </c>
    </row>
    <row r="104" spans="4:6" ht="13.5">
      <c r="D104" s="101">
        <v>17.5</v>
      </c>
      <c r="E104" s="104">
        <f>D104*$E$93</f>
        <v>3675</v>
      </c>
      <c r="F104" s="107">
        <f>(E104/$B$95)*$E$94</f>
        <v>96.16250000000001</v>
      </c>
    </row>
    <row r="105" spans="4:6" ht="15" thickBot="1">
      <c r="D105" s="102">
        <v>20</v>
      </c>
      <c r="E105" s="105">
        <f>D105*$E$93</f>
        <v>4200</v>
      </c>
      <c r="F105" s="108">
        <f>(E105/$B$95)*$E$94</f>
        <v>109.89999999999999</v>
      </c>
    </row>
    <row r="106" ht="13.5">
      <c r="B106" s="13" t="s">
        <v>93</v>
      </c>
    </row>
    <row r="107" spans="2:8" ht="13.5">
      <c r="B107" s="13" t="s">
        <v>94</v>
      </c>
      <c r="G107" s="124">
        <f>$G$96</f>
        <v>0.875</v>
      </c>
      <c r="H107" s="1" t="s">
        <v>95</v>
      </c>
    </row>
    <row r="108" spans="2:4" ht="13.5">
      <c r="B108" s="13" t="s">
        <v>96</v>
      </c>
      <c r="C108" s="112">
        <v>1</v>
      </c>
      <c r="D108" s="23" t="s">
        <v>97</v>
      </c>
    </row>
    <row r="109" ht="13.5">
      <c r="B109" s="13" t="s">
        <v>114</v>
      </c>
    </row>
    <row r="110" ht="13.5">
      <c r="B110" s="13" t="s">
        <v>115</v>
      </c>
    </row>
    <row r="111" ht="13.5">
      <c r="B111" s="13" t="s">
        <v>113</v>
      </c>
    </row>
    <row r="112" ht="13.5">
      <c r="B112" s="13" t="s">
        <v>98</v>
      </c>
    </row>
    <row r="113" ht="13.5">
      <c r="B113" s="13" t="s">
        <v>59</v>
      </c>
    </row>
    <row r="114" spans="1:2" ht="15" thickBot="1">
      <c r="A114" s="13">
        <v>15</v>
      </c>
      <c r="B114" s="13" t="s">
        <v>99</v>
      </c>
    </row>
    <row r="115" spans="1:5" ht="13.5">
      <c r="A115" s="1"/>
      <c r="B115" s="113"/>
      <c r="C115" s="114" t="s">
        <v>100</v>
      </c>
      <c r="D115" s="113">
        <f>$G$64</f>
        <v>12.5</v>
      </c>
      <c r="E115" s="113" t="s">
        <v>104</v>
      </c>
    </row>
    <row r="116" spans="2:5" ht="13.5">
      <c r="B116" s="115"/>
      <c r="C116" s="116" t="s">
        <v>101</v>
      </c>
      <c r="D116" s="115">
        <f>$E$93*$D$115</f>
        <v>2625</v>
      </c>
      <c r="E116" s="115"/>
    </row>
    <row r="117" spans="2:5" ht="13.5">
      <c r="B117" s="115"/>
      <c r="C117" s="116" t="s">
        <v>102</v>
      </c>
      <c r="D117" s="115">
        <f>$C$108*$B$95</f>
        <v>3000</v>
      </c>
      <c r="E117" s="115"/>
    </row>
    <row r="118" spans="2:9" ht="15" thickBot="1">
      <c r="B118" s="117"/>
      <c r="C118" s="118" t="s">
        <v>103</v>
      </c>
      <c r="D118" s="119">
        <f>($D$117/$D$116)*$D$115</f>
        <v>14.285714285714285</v>
      </c>
      <c r="E118" s="117" t="s">
        <v>104</v>
      </c>
      <c r="F118" s="122">
        <f>$D$115</f>
        <v>12.5</v>
      </c>
      <c r="G118" s="120">
        <f>$D$117</f>
        <v>3000</v>
      </c>
      <c r="H118" s="121">
        <f>$D$116</f>
        <v>2625</v>
      </c>
      <c r="I118" s="111">
        <f>$D$118</f>
        <v>14.285714285714285</v>
      </c>
    </row>
    <row r="119" spans="2:9" ht="13.5">
      <c r="B119" s="126" t="s">
        <v>60</v>
      </c>
      <c r="C119" s="94"/>
      <c r="D119" s="125"/>
      <c r="E119" s="51"/>
      <c r="F119" s="122"/>
      <c r="G119" s="120"/>
      <c r="H119" s="121"/>
      <c r="I119" s="111"/>
    </row>
    <row r="120" ht="13.5">
      <c r="B120" s="13" t="s">
        <v>105</v>
      </c>
    </row>
    <row r="121" ht="13.5">
      <c r="B121" s="13" t="s">
        <v>106</v>
      </c>
    </row>
    <row r="122" spans="2:10" ht="13.5">
      <c r="B122" s="13" t="s">
        <v>107</v>
      </c>
      <c r="E122" s="120">
        <f>$D$118</f>
        <v>14.285714285714285</v>
      </c>
      <c r="F122" s="123">
        <f>$D$32</f>
        <v>5</v>
      </c>
      <c r="G122" s="67">
        <f>$E$122*$F$122</f>
        <v>71.42857142857142</v>
      </c>
      <c r="H122" s="1" t="s">
        <v>108</v>
      </c>
      <c r="J122" s="124">
        <f>$F$31/($F$31+$G$31)</f>
        <v>0.25</v>
      </c>
    </row>
    <row r="123" spans="2:10" ht="13.5">
      <c r="B123" s="1" t="s">
        <v>109</v>
      </c>
      <c r="C123" s="10"/>
      <c r="D123" s="1"/>
      <c r="G123" s="67">
        <f>(1/$J$122)*$G$122</f>
        <v>285.71428571428567</v>
      </c>
      <c r="H123" s="15" t="s">
        <v>64</v>
      </c>
      <c r="I123" s="67">
        <f>($G$123-$D$31)</f>
        <v>35.714285714285666</v>
      </c>
      <c r="J123" s="1" t="s">
        <v>75</v>
      </c>
    </row>
    <row r="124" spans="2:10" ht="13.5">
      <c r="B124" s="30" t="s">
        <v>112</v>
      </c>
      <c r="C124" s="124">
        <f>($G$123/$D$31)-1</f>
        <v>0.14285714285714257</v>
      </c>
      <c r="D124" s="23" t="str">
        <f>IF($G$122&gt;$E$82,"increase over base level spending","decrease over base level spending")</f>
        <v>increase over base level spending</v>
      </c>
      <c r="G124" s="66" t="s">
        <v>18</v>
      </c>
      <c r="H124" s="15"/>
      <c r="I124" s="67"/>
      <c r="J124" s="67">
        <f>$G$123-$G$122</f>
        <v>214.28571428571425</v>
      </c>
    </row>
    <row r="125" spans="2:10" ht="13.5">
      <c r="B125" s="80" t="s">
        <v>19</v>
      </c>
      <c r="C125" s="124"/>
      <c r="D125" s="23"/>
      <c r="G125" s="130">
        <f>$J$124/$D$33</f>
        <v>21.428571428571423</v>
      </c>
      <c r="H125" s="15" t="s">
        <v>20</v>
      </c>
      <c r="I125" s="124">
        <f>($G$125/$G$66)-1</f>
        <v>0.14285714285714257</v>
      </c>
      <c r="J125" s="66" t="str">
        <f>IF($G$125&gt;$G$66,"above the","below the")</f>
        <v>above the</v>
      </c>
    </row>
    <row r="126" spans="2:10" ht="13.5">
      <c r="B126" s="80" t="s">
        <v>21</v>
      </c>
      <c r="C126" s="124"/>
      <c r="D126" s="23"/>
      <c r="G126" s="130"/>
      <c r="H126" s="15"/>
      <c r="I126" s="124"/>
      <c r="J126" s="67"/>
    </row>
    <row r="127" spans="2:4" ht="13.5">
      <c r="B127" s="1" t="s">
        <v>22</v>
      </c>
      <c r="D127" s="1"/>
    </row>
    <row r="128" ht="13.5">
      <c r="B128" s="13" t="s">
        <v>23</v>
      </c>
    </row>
    <row r="129" ht="13.5">
      <c r="B129" s="13" t="s">
        <v>24</v>
      </c>
    </row>
    <row r="130" ht="13.5">
      <c r="B130" s="13" t="s">
        <v>25</v>
      </c>
    </row>
    <row r="131" ht="13.5">
      <c r="B131" s="97" t="s">
        <v>61</v>
      </c>
    </row>
    <row r="132" ht="13.5">
      <c r="B132" s="13" t="s">
        <v>65</v>
      </c>
    </row>
    <row r="133" ht="13.5">
      <c r="B133" s="13" t="s">
        <v>66</v>
      </c>
    </row>
    <row r="134" ht="13.5">
      <c r="B134" s="13" t="s">
        <v>67</v>
      </c>
    </row>
    <row r="135" spans="2:7" ht="13.5">
      <c r="B135" s="13" t="s">
        <v>68</v>
      </c>
      <c r="F135" s="67">
        <f>$I$123</f>
        <v>35.714285714285666</v>
      </c>
      <c r="G135" s="1" t="s">
        <v>69</v>
      </c>
    </row>
    <row r="136" ht="13.5">
      <c r="B136" s="13" t="s">
        <v>70</v>
      </c>
    </row>
    <row r="137" spans="2:5" ht="13.5">
      <c r="B137" s="13" t="s">
        <v>71</v>
      </c>
      <c r="D137" s="67">
        <f>$F$135</f>
        <v>35.714285714285666</v>
      </c>
      <c r="E137" s="1" t="s">
        <v>72</v>
      </c>
    </row>
    <row r="138" ht="13.5">
      <c r="B138" s="13" t="s">
        <v>73</v>
      </c>
    </row>
    <row r="139" ht="13.5">
      <c r="B139" s="13" t="s">
        <v>74</v>
      </c>
    </row>
    <row r="140" ht="13.5">
      <c r="B140" s="13" t="s">
        <v>35</v>
      </c>
    </row>
    <row r="141" ht="13.5">
      <c r="B141" s="13" t="s">
        <v>36</v>
      </c>
    </row>
    <row r="142" spans="2:10" ht="13.5">
      <c r="B142" s="13" t="s">
        <v>37</v>
      </c>
      <c r="G142" s="111">
        <f>$F$148</f>
        <v>14.285714285714285</v>
      </c>
      <c r="H142" s="1" t="s">
        <v>38</v>
      </c>
      <c r="I142" s="111">
        <f>$F$148-$D$148</f>
        <v>1.7857142857142847</v>
      </c>
      <c r="J142" s="1" t="s">
        <v>39</v>
      </c>
    </row>
    <row r="143" spans="2:6" ht="13.5">
      <c r="B143" s="13" t="s">
        <v>40</v>
      </c>
      <c r="E143" s="67">
        <f>$D$32</f>
        <v>5</v>
      </c>
      <c r="F143" s="1" t="s">
        <v>41</v>
      </c>
    </row>
    <row r="144" ht="13.5">
      <c r="B144" s="67">
        <f>$I$142*$E$143</f>
        <v>8.928571428571423</v>
      </c>
    </row>
    <row r="145" ht="13.5">
      <c r="D145" s="134" t="s">
        <v>55</v>
      </c>
    </row>
    <row r="146" spans="2:6" ht="15" thickBot="1">
      <c r="B146" s="1"/>
      <c r="C146" s="10"/>
      <c r="D146" s="1"/>
      <c r="E146" s="2"/>
      <c r="F146" s="15" t="s">
        <v>54</v>
      </c>
    </row>
    <row r="147" spans="2:9" ht="15" thickBot="1">
      <c r="B147" s="1"/>
      <c r="C147" s="10"/>
      <c r="D147" s="133" t="s">
        <v>47</v>
      </c>
      <c r="E147" s="133" t="s">
        <v>26</v>
      </c>
      <c r="F147" s="133" t="s">
        <v>30</v>
      </c>
      <c r="G147" s="133" t="s">
        <v>26</v>
      </c>
      <c r="H147" s="133" t="s">
        <v>31</v>
      </c>
      <c r="I147" s="133" t="s">
        <v>26</v>
      </c>
    </row>
    <row r="148" spans="2:9" ht="13.5">
      <c r="B148" s="1"/>
      <c r="C148" s="12" t="s">
        <v>27</v>
      </c>
      <c r="D148" s="139">
        <f>$G$64</f>
        <v>12.5</v>
      </c>
      <c r="E148" s="139"/>
      <c r="F148" s="139">
        <f>$D$118</f>
        <v>14.285714285714285</v>
      </c>
      <c r="G148" s="140"/>
      <c r="H148" s="139">
        <f>$H$150/$D$32</f>
        <v>14.285714285714283</v>
      </c>
      <c r="I148" s="140"/>
    </row>
    <row r="149" spans="2:9" ht="13.5">
      <c r="B149" s="1"/>
      <c r="C149" s="12" t="s">
        <v>28</v>
      </c>
      <c r="D149" s="141">
        <f>$G$66</f>
        <v>18.75</v>
      </c>
      <c r="E149" s="141"/>
      <c r="F149" s="142">
        <f>$G$125</f>
        <v>21.428571428571423</v>
      </c>
      <c r="G149" s="143"/>
      <c r="H149" s="141">
        <f>$H$151/$D$33</f>
        <v>18.35</v>
      </c>
      <c r="I149" s="143"/>
    </row>
    <row r="150" spans="2:9" ht="13.5">
      <c r="B150" s="1"/>
      <c r="C150" s="12" t="s">
        <v>44</v>
      </c>
      <c r="D150" s="144">
        <f>$E$82</f>
        <v>62.5</v>
      </c>
      <c r="E150" s="145">
        <f>$D$150/$D$152</f>
        <v>0.25</v>
      </c>
      <c r="F150" s="144">
        <f>$G$122</f>
        <v>71.42857142857142</v>
      </c>
      <c r="G150" s="145">
        <f>$F$150/$F$152</f>
        <v>0.25</v>
      </c>
      <c r="H150" s="146">
        <f>$D$150+$H$155</f>
        <v>71.42857142857142</v>
      </c>
      <c r="I150" s="147">
        <f>$H$150/$H$152</f>
        <v>0.2801905295601008</v>
      </c>
    </row>
    <row r="151" spans="2:9" ht="13.5">
      <c r="B151" s="1"/>
      <c r="C151" s="12" t="s">
        <v>43</v>
      </c>
      <c r="D151" s="144">
        <f>$E$83</f>
        <v>187.5</v>
      </c>
      <c r="E151" s="145">
        <f>$D$151/$D$152</f>
        <v>0.75</v>
      </c>
      <c r="F151" s="144">
        <f>$J$124</f>
        <v>214.28571428571425</v>
      </c>
      <c r="G151" s="145">
        <f>$F$151/$F$152</f>
        <v>0.75</v>
      </c>
      <c r="H151" s="146">
        <f>$H$157</f>
        <v>183.5</v>
      </c>
      <c r="I151" s="147">
        <f>$H$151/$H$152</f>
        <v>0.7198094704398992</v>
      </c>
    </row>
    <row r="152" spans="2:9" ht="15" thickBot="1">
      <c r="B152" s="1"/>
      <c r="C152" s="12" t="s">
        <v>29</v>
      </c>
      <c r="D152" s="148">
        <f>SUM(D150:D151)</f>
        <v>250</v>
      </c>
      <c r="E152" s="149">
        <f>SUM(E150:E151)</f>
        <v>1</v>
      </c>
      <c r="F152" s="148">
        <f>SUM(F150:F151)</f>
        <v>285.71428571428567</v>
      </c>
      <c r="G152" s="149">
        <f>SUM(G150:G151)</f>
        <v>1</v>
      </c>
      <c r="H152" s="150">
        <f>SUM(H150:H151)</f>
        <v>254.92857142857142</v>
      </c>
      <c r="I152" s="151">
        <f>SUM(I150:I151)</f>
        <v>1</v>
      </c>
    </row>
    <row r="153" spans="2:9" ht="15" thickBot="1">
      <c r="B153" s="1"/>
      <c r="C153" s="12" t="s">
        <v>48</v>
      </c>
      <c r="D153" s="152">
        <v>0</v>
      </c>
      <c r="E153" s="153"/>
      <c r="F153" s="152">
        <f>$F$152-$D$152</f>
        <v>35.714285714285666</v>
      </c>
      <c r="G153" s="153"/>
      <c r="H153" s="154">
        <f>$H$152-$D$152</f>
        <v>4.928571428571416</v>
      </c>
      <c r="I153" s="155"/>
    </row>
    <row r="154" spans="2:9" ht="13.5">
      <c r="B154" s="1"/>
      <c r="C154" s="12" t="s">
        <v>32</v>
      </c>
      <c r="D154" s="156">
        <v>0</v>
      </c>
      <c r="E154" s="140"/>
      <c r="F154" s="156">
        <v>0</v>
      </c>
      <c r="G154" s="140"/>
      <c r="H154" s="157">
        <v>4</v>
      </c>
      <c r="I154" s="158">
        <f>$H$154/$H$156</f>
        <v>0.30939226519337026</v>
      </c>
    </row>
    <row r="155" spans="2:9" ht="13.5">
      <c r="B155" s="1"/>
      <c r="C155" s="12" t="s">
        <v>34</v>
      </c>
      <c r="D155" s="143"/>
      <c r="E155" s="143"/>
      <c r="F155" s="143"/>
      <c r="G155" s="143"/>
      <c r="H155" s="146">
        <f>$H$156-$H$154</f>
        <v>8.928571428571423</v>
      </c>
      <c r="I155" s="145">
        <f>$H$155/$H$156</f>
        <v>0.6906077348066297</v>
      </c>
    </row>
    <row r="156" spans="2:9" ht="13.5">
      <c r="B156" s="1"/>
      <c r="C156" s="12" t="s">
        <v>33</v>
      </c>
      <c r="D156" s="143"/>
      <c r="E156" s="143"/>
      <c r="F156" s="143"/>
      <c r="G156" s="143"/>
      <c r="H156" s="146">
        <f>$H$154+$B$144</f>
        <v>12.928571428571423</v>
      </c>
      <c r="I156" s="145">
        <f>SUM(I154:I155)</f>
        <v>1</v>
      </c>
    </row>
    <row r="157" spans="2:9" ht="15" thickBot="1">
      <c r="B157" s="1"/>
      <c r="C157" s="12" t="s">
        <v>42</v>
      </c>
      <c r="D157" s="159"/>
      <c r="E157" s="159"/>
      <c r="F157" s="159"/>
      <c r="G157" s="159"/>
      <c r="H157" s="150">
        <f>$D$151-$H$154</f>
        <v>183.5</v>
      </c>
      <c r="I157" s="159"/>
    </row>
    <row r="158" spans="2:9" ht="13.5">
      <c r="B158" s="1"/>
      <c r="C158" s="12" t="s">
        <v>6</v>
      </c>
      <c r="D158" s="160">
        <v>0</v>
      </c>
      <c r="E158" s="160"/>
      <c r="F158" s="160">
        <v>0</v>
      </c>
      <c r="G158" s="160"/>
      <c r="H158" s="160">
        <v>0.1</v>
      </c>
      <c r="I158" s="160"/>
    </row>
    <row r="159" spans="2:9" ht="13.5">
      <c r="B159" s="1"/>
      <c r="C159" s="12" t="s">
        <v>7</v>
      </c>
      <c r="D159" s="146">
        <v>0</v>
      </c>
      <c r="E159" s="143"/>
      <c r="F159" s="146">
        <f>$F$153*$F$158</f>
        <v>0</v>
      </c>
      <c r="G159" s="143"/>
      <c r="H159" s="146">
        <f>$H$156*$H$158</f>
        <v>1.2928571428571425</v>
      </c>
      <c r="I159" s="143"/>
    </row>
    <row r="160" spans="2:9" ht="13.5">
      <c r="B160" s="1"/>
      <c r="C160" s="12" t="s">
        <v>8</v>
      </c>
      <c r="D160" s="146">
        <v>0</v>
      </c>
      <c r="E160" s="143"/>
      <c r="F160" s="146">
        <f>$F$153*$F$158</f>
        <v>0</v>
      </c>
      <c r="G160" s="143"/>
      <c r="H160" s="146">
        <f>$H$156+$H$159</f>
        <v>14.221428571428566</v>
      </c>
      <c r="I160" s="143"/>
    </row>
    <row r="161" spans="3:9" ht="13.5">
      <c r="C161" s="12" t="s">
        <v>49</v>
      </c>
      <c r="D161" s="161">
        <f>($D$148^$F$31)*($D$149^$G$31)</f>
        <v>16.942537567684592</v>
      </c>
      <c r="E161" s="143"/>
      <c r="F161" s="161">
        <f>($F$148^$F$31)*($F$149^$G$31)</f>
        <v>19.362900077353814</v>
      </c>
      <c r="G161" s="143"/>
      <c r="H161" s="161">
        <f>($H$148^$F$31)*($H$149^$G$31)</f>
        <v>17.236637232818715</v>
      </c>
      <c r="I161" s="161"/>
    </row>
    <row r="162" spans="3:9" ht="13.5">
      <c r="C162" s="12" t="s">
        <v>53</v>
      </c>
      <c r="D162" s="162">
        <f>$G$75</f>
        <v>0.3388507513536918</v>
      </c>
      <c r="E162" s="143"/>
      <c r="F162" s="162">
        <f>$C$44*($F$148^$D$43)*($F$149^$E$43)</f>
        <v>0.3388507513536918</v>
      </c>
      <c r="G162" s="143"/>
      <c r="H162" s="162">
        <f>$D$75*($H$148^$E$74)*($H$149^$F$74)</f>
        <v>0.3016411515743276</v>
      </c>
      <c r="I162" s="161"/>
    </row>
    <row r="163" spans="3:9" ht="13.5">
      <c r="C163" s="12" t="s">
        <v>52</v>
      </c>
      <c r="D163" s="162">
        <f>$G$77</f>
        <v>0.6777015027073837</v>
      </c>
      <c r="E163" s="143"/>
      <c r="F163" s="162">
        <f>$C$46*($F$148^$D$45)*($F$149^$E$45)</f>
        <v>0.6777015027073837</v>
      </c>
      <c r="G163" s="143"/>
      <c r="H163" s="162">
        <f>$D$77*($H$148^$E$76)*($H$149^$F$76)</f>
        <v>0.7044947097882308</v>
      </c>
      <c r="I163" s="161"/>
    </row>
    <row r="164" spans="3:9" ht="13.5">
      <c r="C164" s="12" t="s">
        <v>50</v>
      </c>
      <c r="D164" s="163">
        <f>$D$162/$D$32</f>
        <v>0.06777015027073836</v>
      </c>
      <c r="E164" s="143"/>
      <c r="F164" s="162">
        <f>$F$162/$D$32</f>
        <v>0.06777015027073836</v>
      </c>
      <c r="G164" s="143"/>
      <c r="H164" s="162">
        <f>$H$162/$D$32</f>
        <v>0.06032823031486552</v>
      </c>
      <c r="I164" s="161"/>
    </row>
    <row r="165" spans="3:9" ht="15" thickBot="1">
      <c r="C165" s="12" t="s">
        <v>51</v>
      </c>
      <c r="D165" s="164">
        <f>$D$163/$D$33</f>
        <v>0.06777015027073838</v>
      </c>
      <c r="E165" s="159"/>
      <c r="F165" s="165">
        <f>$F$163/$D$33</f>
        <v>0.06777015027073838</v>
      </c>
      <c r="G165" s="159"/>
      <c r="H165" s="165">
        <f>$H$163/$D$33</f>
        <v>0.07044947097882308</v>
      </c>
      <c r="I165" s="166"/>
    </row>
    <row r="166" ht="13.5">
      <c r="B166" s="13" t="s">
        <v>45</v>
      </c>
    </row>
    <row r="167" ht="13.5">
      <c r="B167" s="13" t="s">
        <v>46</v>
      </c>
    </row>
    <row r="168" ht="13.5">
      <c r="B168" s="13" t="s">
        <v>56</v>
      </c>
    </row>
    <row r="169" ht="13.5">
      <c r="B169" s="13" t="s">
        <v>57</v>
      </c>
    </row>
    <row r="170" ht="13.5">
      <c r="B170" s="13" t="s">
        <v>58</v>
      </c>
    </row>
    <row r="171" ht="13.5">
      <c r="B171" s="13" t="s">
        <v>0</v>
      </c>
    </row>
    <row r="172" ht="13.5">
      <c r="B172" s="13" t="s">
        <v>1</v>
      </c>
    </row>
    <row r="173" ht="13.5">
      <c r="B173" s="13" t="s">
        <v>2</v>
      </c>
    </row>
    <row r="174" ht="13.5">
      <c r="B174" s="13" t="s">
        <v>3</v>
      </c>
    </row>
    <row r="175" ht="13.5">
      <c r="B175" s="13" t="s">
        <v>4</v>
      </c>
    </row>
    <row r="176" ht="13.5">
      <c r="B176" s="13" t="s">
        <v>5</v>
      </c>
    </row>
    <row r="177" ht="13.5">
      <c r="B177" s="13" t="s">
        <v>9</v>
      </c>
    </row>
    <row r="178" ht="13.5">
      <c r="B178" s="13" t="s">
        <v>10</v>
      </c>
    </row>
    <row r="179" ht="13.5">
      <c r="B179" s="13" t="s">
        <v>11</v>
      </c>
    </row>
    <row r="181" ht="13.5">
      <c r="F181" s="134" t="s">
        <v>17</v>
      </c>
    </row>
    <row r="182" ht="0.75" customHeight="1">
      <c r="D182" s="137">
        <f>(D148*D149)^0.1</f>
        <v>1.725802638026066</v>
      </c>
    </row>
    <row r="183" spans="4:8" ht="0.75" customHeight="1">
      <c r="D183" s="131" t="s">
        <v>14</v>
      </c>
      <c r="E183" s="131" t="s">
        <v>15</v>
      </c>
      <c r="F183" s="131" t="s">
        <v>16</v>
      </c>
      <c r="G183" s="131" t="s">
        <v>12</v>
      </c>
      <c r="H183" s="131" t="s">
        <v>13</v>
      </c>
    </row>
    <row r="184" spans="3:8" ht="0.75" customHeight="1">
      <c r="C184" s="132">
        <v>0</v>
      </c>
      <c r="G184" s="167">
        <f>($D$31-C184*$D$32)/$D$33</f>
        <v>25</v>
      </c>
      <c r="H184" s="167">
        <f>($F$152-C184*$D$32)/$D$33</f>
        <v>28.571428571428566</v>
      </c>
    </row>
    <row r="185" spans="3:8" ht="0.75" customHeight="1">
      <c r="C185" s="138">
        <f>C184+$D$182</f>
        <v>1.725802638026066</v>
      </c>
      <c r="D185" s="137">
        <f>EXP(LN($D$161/(C185^$F$31))/$G$31)</f>
        <v>36.27779649402325</v>
      </c>
      <c r="E185" s="137">
        <f>EXP(LN($F$161/(C185^$F$31))/$G$31)</f>
        <v>43.347444198409974</v>
      </c>
      <c r="F185" s="137">
        <f>EXP(LN($H$161/(C185^$F$31))/$G$31)</f>
        <v>37.11986138190509</v>
      </c>
      <c r="G185" s="167">
        <f>IF((($D$31-C185*$D$32)/$D$33)&gt;0,(($D$31-C185*$D$32)/$D$33),0)</f>
        <v>24.137098680986966</v>
      </c>
      <c r="H185" s="167">
        <f>IF((($F$152-C185*$D$32)/$D$33)&gt;0,(($F$152-C185*$D$32)/$D$33),0)</f>
        <v>27.708527252415536</v>
      </c>
    </row>
    <row r="186" spans="3:8" ht="0.75" customHeight="1">
      <c r="C186" s="138">
        <f>C185+$D$182</f>
        <v>3.451605276052132</v>
      </c>
      <c r="D186" s="137">
        <f aca="true" t="shared" si="0" ref="D186:D219">EXP(LN($D$161/(C186^$F$31))/$G$31)</f>
        <v>28.793706158850377</v>
      </c>
      <c r="E186" s="137">
        <f aca="true" t="shared" si="1" ref="E186:E219">EXP(LN($F$161/(C186^$F$31))/$G$31)</f>
        <v>34.4048892603444</v>
      </c>
      <c r="F186" s="137">
        <f aca="true" t="shared" si="2" ref="F186:F219">EXP(LN($H$161/(C186^$F$31))/$G$31)</f>
        <v>29.462053503274934</v>
      </c>
      <c r="G186" s="167">
        <f aca="true" t="shared" si="3" ref="G186:G219">IF((($D$31-C186*$D$32)/$D$33)&gt;0,(($D$31-C186*$D$32)/$D$33),0)</f>
        <v>23.274197361973933</v>
      </c>
      <c r="H186" s="167">
        <f aca="true" t="shared" si="4" ref="H186:H219">IF((($F$152-C186*$D$32)/$D$33)&gt;0,(($F$152-C186*$D$32)/$D$33),0)</f>
        <v>26.8456259334025</v>
      </c>
    </row>
    <row r="187" spans="3:8" ht="0.75" customHeight="1">
      <c r="C187" s="138">
        <f aca="true" t="shared" si="5" ref="C187:C207">C186+$D$182</f>
        <v>5.177407914078199</v>
      </c>
      <c r="D187" s="137">
        <f t="shared" si="0"/>
        <v>25.153619207728934</v>
      </c>
      <c r="E187" s="137">
        <f t="shared" si="1"/>
        <v>30.055439149252546</v>
      </c>
      <c r="F187" s="137">
        <f t="shared" si="2"/>
        <v>25.73747439147661</v>
      </c>
      <c r="G187" s="167">
        <f t="shared" si="3"/>
        <v>22.411296042960902</v>
      </c>
      <c r="H187" s="167">
        <f t="shared" si="4"/>
        <v>25.98272461438947</v>
      </c>
    </row>
    <row r="188" spans="3:8" ht="0.75" customHeight="1">
      <c r="C188" s="138">
        <f t="shared" si="5"/>
        <v>6.903210552104264</v>
      </c>
      <c r="D188" s="137">
        <f t="shared" si="0"/>
        <v>22.85357972331115</v>
      </c>
      <c r="E188" s="137">
        <f t="shared" si="1"/>
        <v>27.307178702360062</v>
      </c>
      <c r="F188" s="137">
        <f t="shared" si="2"/>
        <v>23.38404736212101</v>
      </c>
      <c r="G188" s="167">
        <f t="shared" si="3"/>
        <v>21.54839472394787</v>
      </c>
      <c r="H188" s="167">
        <f t="shared" si="4"/>
        <v>25.119823295376435</v>
      </c>
    </row>
    <row r="189" spans="3:8" ht="0.75" customHeight="1">
      <c r="C189" s="138">
        <f t="shared" si="5"/>
        <v>8.62901319013033</v>
      </c>
      <c r="D189" s="137">
        <f t="shared" si="0"/>
        <v>21.215384090360104</v>
      </c>
      <c r="E189" s="137">
        <f t="shared" si="1"/>
        <v>25.349739148468633</v>
      </c>
      <c r="F189" s="137">
        <f t="shared" si="2"/>
        <v>21.707826624138637</v>
      </c>
      <c r="G189" s="167">
        <f t="shared" si="3"/>
        <v>20.685493404934835</v>
      </c>
      <c r="H189" s="167">
        <f t="shared" si="4"/>
        <v>24.2569219763634</v>
      </c>
    </row>
    <row r="190" spans="3:8" ht="0.75" customHeight="1">
      <c r="C190" s="138">
        <f t="shared" si="5"/>
        <v>10.354815828156395</v>
      </c>
      <c r="D190" s="137">
        <f t="shared" si="0"/>
        <v>19.964440795578223</v>
      </c>
      <c r="E190" s="137">
        <f t="shared" si="1"/>
        <v>23.855017861444864</v>
      </c>
      <c r="F190" s="137">
        <f t="shared" si="2"/>
        <v>20.4278469620173</v>
      </c>
      <c r="G190" s="167">
        <f t="shared" si="3"/>
        <v>19.822592085921805</v>
      </c>
      <c r="H190" s="167">
        <f t="shared" si="4"/>
        <v>23.39402065735037</v>
      </c>
    </row>
    <row r="191" spans="3:8" ht="0.75" customHeight="1">
      <c r="C191" s="138">
        <f t="shared" si="5"/>
        <v>12.080618466182461</v>
      </c>
      <c r="D191" s="137">
        <f t="shared" si="0"/>
        <v>18.964506836804368</v>
      </c>
      <c r="E191" s="137">
        <f t="shared" si="1"/>
        <v>22.66022143859196</v>
      </c>
      <c r="F191" s="137">
        <f t="shared" si="2"/>
        <v>19.404702958580927</v>
      </c>
      <c r="G191" s="167">
        <f t="shared" si="3"/>
        <v>18.95969076690877</v>
      </c>
      <c r="H191" s="167">
        <f t="shared" si="4"/>
        <v>22.531119338337337</v>
      </c>
    </row>
    <row r="192" spans="3:8" ht="0.75" customHeight="1">
      <c r="C192" s="138">
        <f t="shared" si="5"/>
        <v>13.806421104208527</v>
      </c>
      <c r="D192" s="137">
        <f t="shared" si="0"/>
        <v>18.138898247011625</v>
      </c>
      <c r="E192" s="137">
        <f t="shared" si="1"/>
        <v>21.673722099204983</v>
      </c>
      <c r="F192" s="137">
        <f t="shared" si="2"/>
        <v>18.559930690952545</v>
      </c>
      <c r="G192" s="167">
        <f t="shared" si="3"/>
        <v>18.096789447895738</v>
      </c>
      <c r="H192" s="167">
        <f t="shared" si="4"/>
        <v>21.668218019324303</v>
      </c>
    </row>
    <row r="193" spans="3:8" ht="0.75" customHeight="1">
      <c r="C193" s="138">
        <f t="shared" si="5"/>
        <v>15.532223742234592</v>
      </c>
      <c r="D193" s="137">
        <f t="shared" si="0"/>
        <v>17.44054546840155</v>
      </c>
      <c r="E193" s="137">
        <f t="shared" si="1"/>
        <v>20.83927758969372</v>
      </c>
      <c r="F193" s="137">
        <f t="shared" si="2"/>
        <v>17.845368042641063</v>
      </c>
      <c r="G193" s="167">
        <f t="shared" si="3"/>
        <v>17.233888128882704</v>
      </c>
      <c r="H193" s="167">
        <f t="shared" si="4"/>
        <v>20.805316700311273</v>
      </c>
    </row>
    <row r="194" spans="3:8" ht="0.75" customHeight="1">
      <c r="C194" s="138">
        <f t="shared" si="5"/>
        <v>17.25802638026066</v>
      </c>
      <c r="D194" s="137">
        <f t="shared" si="0"/>
        <v>16.83866151147351</v>
      </c>
      <c r="E194" s="137">
        <f t="shared" si="1"/>
        <v>20.120101295699286</v>
      </c>
      <c r="F194" s="137">
        <f t="shared" si="2"/>
        <v>17.229513409550492</v>
      </c>
      <c r="G194" s="167">
        <f t="shared" si="3"/>
        <v>16.37098680986967</v>
      </c>
      <c r="H194" s="167">
        <f t="shared" si="4"/>
        <v>19.942415381298236</v>
      </c>
    </row>
    <row r="195" spans="3:8" ht="0.75" customHeight="1">
      <c r="C195" s="138">
        <f t="shared" si="5"/>
        <v>18.983829018286727</v>
      </c>
      <c r="D195" s="137">
        <f t="shared" si="0"/>
        <v>16.3121048825291</v>
      </c>
      <c r="E195" s="137">
        <f t="shared" si="1"/>
        <v>19.49093176787994</v>
      </c>
      <c r="F195" s="137">
        <f t="shared" si="2"/>
        <v>16.690734570561194</v>
      </c>
      <c r="G195" s="167">
        <f t="shared" si="3"/>
        <v>15.508085490856638</v>
      </c>
      <c r="H195" s="167">
        <f t="shared" si="4"/>
        <v>19.079514062285206</v>
      </c>
    </row>
    <row r="196" spans="3:8" ht="0.75" customHeight="1">
      <c r="C196" s="138">
        <f t="shared" si="5"/>
        <v>20.709631656312794</v>
      </c>
      <c r="D196" s="137">
        <f t="shared" si="0"/>
        <v>15.845787160428852</v>
      </c>
      <c r="E196" s="137">
        <f t="shared" si="1"/>
        <v>18.93374022398888</v>
      </c>
      <c r="F196" s="137">
        <f t="shared" si="2"/>
        <v>16.21359287847582</v>
      </c>
      <c r="G196" s="167">
        <f t="shared" si="3"/>
        <v>14.645184171843601</v>
      </c>
      <c r="H196" s="167">
        <f t="shared" si="4"/>
        <v>18.21661274327217</v>
      </c>
    </row>
    <row r="197" spans="3:8" ht="0.75" customHeight="1">
      <c r="C197" s="138">
        <f t="shared" si="5"/>
        <v>22.43543429433886</v>
      </c>
      <c r="D197" s="137">
        <f t="shared" si="0"/>
        <v>15.428597503994109</v>
      </c>
      <c r="E197" s="137">
        <f t="shared" si="1"/>
        <v>18.435250593963037</v>
      </c>
      <c r="F197" s="137">
        <f t="shared" si="2"/>
        <v>15.786719591963687</v>
      </c>
      <c r="G197" s="167">
        <f t="shared" si="3"/>
        <v>13.782282852830571</v>
      </c>
      <c r="H197" s="167">
        <f t="shared" si="4"/>
        <v>17.35371142425914</v>
      </c>
    </row>
    <row r="198" spans="3:8" ht="0.75" customHeight="1">
      <c r="C198" s="138">
        <f t="shared" si="5"/>
        <v>24.16123693236493</v>
      </c>
      <c r="D198" s="137">
        <f t="shared" si="0"/>
        <v>15.052139051400685</v>
      </c>
      <c r="E198" s="137">
        <f t="shared" si="1"/>
        <v>17.98542967472661</v>
      </c>
      <c r="F198" s="137">
        <f t="shared" si="2"/>
        <v>15.401522944790896</v>
      </c>
      <c r="G198" s="167">
        <f t="shared" si="3"/>
        <v>12.919381533817534</v>
      </c>
      <c r="H198" s="167">
        <f t="shared" si="4"/>
        <v>16.4908101052461</v>
      </c>
    </row>
    <row r="199" spans="3:8" ht="0.75" customHeight="1">
      <c r="C199" s="138">
        <f t="shared" si="5"/>
        <v>25.887039570390996</v>
      </c>
      <c r="D199" s="137">
        <f t="shared" si="0"/>
        <v>14.709925748730253</v>
      </c>
      <c r="E199" s="137">
        <f t="shared" si="1"/>
        <v>17.576527440438383</v>
      </c>
      <c r="F199" s="137">
        <f t="shared" si="2"/>
        <v>15.051366331495409</v>
      </c>
      <c r="G199" s="167">
        <f t="shared" si="3"/>
        <v>12.056480214804504</v>
      </c>
      <c r="H199" s="167">
        <f t="shared" si="4"/>
        <v>15.62790878623307</v>
      </c>
    </row>
    <row r="200" spans="3:8" ht="0.75" customHeight="1">
      <c r="C200" s="138">
        <f t="shared" si="5"/>
        <v>27.612842208417064</v>
      </c>
      <c r="D200" s="137">
        <f t="shared" si="0"/>
        <v>14.396853079425187</v>
      </c>
      <c r="E200" s="137">
        <f t="shared" si="1"/>
        <v>17.2024446301722</v>
      </c>
      <c r="F200" s="137">
        <f t="shared" si="2"/>
        <v>14.731026751637465</v>
      </c>
      <c r="G200" s="167">
        <f t="shared" si="3"/>
        <v>11.193578895791466</v>
      </c>
      <c r="H200" s="167">
        <f t="shared" si="4"/>
        <v>14.765007467220034</v>
      </c>
    </row>
    <row r="201" spans="3:8" ht="0.75" customHeight="1">
      <c r="C201" s="138">
        <f t="shared" si="5"/>
        <v>29.33864484644313</v>
      </c>
      <c r="D201" s="137">
        <f t="shared" si="0"/>
        <v>14.108838419652162</v>
      </c>
      <c r="E201" s="137">
        <f t="shared" si="1"/>
        <v>16.858303017412123</v>
      </c>
      <c r="F201" s="137">
        <f t="shared" si="2"/>
        <v>14.436326817243916</v>
      </c>
      <c r="G201" s="167">
        <f t="shared" si="3"/>
        <v>10.330677576778436</v>
      </c>
      <c r="H201" s="167">
        <f t="shared" si="4"/>
        <v>13.902106148207002</v>
      </c>
    </row>
    <row r="202" spans="3:8" ht="0.75" customHeight="1">
      <c r="C202" s="138">
        <f t="shared" si="5"/>
        <v>31.0644474844692</v>
      </c>
      <c r="D202" s="137">
        <f t="shared" si="0"/>
        <v>13.842570111719908</v>
      </c>
      <c r="E202" s="137">
        <f t="shared" si="1"/>
        <v>16.540145584068558</v>
      </c>
      <c r="F202" s="137">
        <f t="shared" si="2"/>
        <v>14.163878001824047</v>
      </c>
      <c r="G202" s="167">
        <f t="shared" si="3"/>
        <v>9.467776257765399</v>
      </c>
      <c r="H202" s="167">
        <f t="shared" si="4"/>
        <v>13.039204829193967</v>
      </c>
    </row>
    <row r="203" spans="3:8" ht="0.75" customHeight="1">
      <c r="C203" s="138">
        <f t="shared" si="5"/>
        <v>32.790250122495266</v>
      </c>
      <c r="D203" s="137">
        <f t="shared" si="0"/>
        <v>13.59532831625959</v>
      </c>
      <c r="E203" s="137">
        <f t="shared" si="1"/>
        <v>16.24472246116757</v>
      </c>
      <c r="F203" s="137">
        <f t="shared" si="2"/>
        <v>13.910897334246506</v>
      </c>
      <c r="G203" s="167">
        <f t="shared" si="3"/>
        <v>8.604874938752369</v>
      </c>
      <c r="H203" s="167">
        <f t="shared" si="4"/>
        <v>12.176303510180935</v>
      </c>
    </row>
    <row r="204" spans="3:8" ht="0.75" customHeight="1">
      <c r="C204" s="138">
        <f t="shared" si="5"/>
        <v>34.51605276052133</v>
      </c>
      <c r="D204" s="137">
        <f t="shared" si="0"/>
        <v>13.364854498524734</v>
      </c>
      <c r="E204" s="137">
        <f t="shared" si="1"/>
        <v>15.969334981249878</v>
      </c>
      <c r="F204" s="137">
        <f t="shared" si="2"/>
        <v>13.675073855610318</v>
      </c>
      <c r="G204" s="167">
        <f t="shared" si="3"/>
        <v>7.741973619739332</v>
      </c>
      <c r="H204" s="167">
        <f t="shared" si="4"/>
        <v>11.3134021911679</v>
      </c>
    </row>
    <row r="205" spans="3:8" ht="0.75" customHeight="1">
      <c r="C205" s="138">
        <f t="shared" si="5"/>
        <v>36.2418553985474</v>
      </c>
      <c r="D205" s="137">
        <f t="shared" si="0"/>
        <v>13.149254627797998</v>
      </c>
      <c r="E205" s="137">
        <f t="shared" si="1"/>
        <v>15.711720013729696</v>
      </c>
      <c r="F205" s="137">
        <f t="shared" si="2"/>
        <v>13.454469571757201</v>
      </c>
      <c r="G205" s="167">
        <f t="shared" si="3"/>
        <v>6.8790723007263015</v>
      </c>
      <c r="H205" s="167">
        <f t="shared" si="4"/>
        <v>10.450500872154867</v>
      </c>
    </row>
    <row r="206" spans="3:8" ht="0.75" customHeight="1">
      <c r="C206" s="138">
        <f t="shared" si="5"/>
        <v>37.96765803657347</v>
      </c>
      <c r="D206" s="137">
        <f t="shared" si="0"/>
        <v>12.94692622517115</v>
      </c>
      <c r="E206" s="137">
        <f t="shared" si="1"/>
        <v>15.469962796086504</v>
      </c>
      <c r="F206" s="137">
        <f t="shared" si="2"/>
        <v>13.247444807715414</v>
      </c>
      <c r="G206" s="167">
        <f t="shared" si="3"/>
        <v>6.016170981713264</v>
      </c>
      <c r="H206" s="167">
        <f t="shared" si="4"/>
        <v>9.587599553141832</v>
      </c>
    </row>
    <row r="207" spans="3:8" ht="0.75" customHeight="1">
      <c r="C207" s="138">
        <f t="shared" si="5"/>
        <v>39.693460674599535</v>
      </c>
      <c r="D207" s="137">
        <f t="shared" si="0"/>
        <v>12.756502589975828</v>
      </c>
      <c r="E207" s="137">
        <f t="shared" si="1"/>
        <v>15.242430291402886</v>
      </c>
      <c r="F207" s="137">
        <f t="shared" si="2"/>
        <v>13.052601139538018</v>
      </c>
      <c r="G207" s="167">
        <f t="shared" si="3"/>
        <v>5.153269662700234</v>
      </c>
      <c r="H207" s="167">
        <f t="shared" si="4"/>
        <v>8.7246982341288</v>
      </c>
    </row>
    <row r="208" spans="3:8" ht="0.75" customHeight="1">
      <c r="C208" s="138">
        <f aca="true" t="shared" si="6" ref="C208:C219">C207+$D$182</f>
        <v>41.4192633126256</v>
      </c>
      <c r="D208" s="137">
        <f t="shared" si="0"/>
        <v>12.576809603864472</v>
      </c>
      <c r="E208" s="137">
        <f t="shared" si="1"/>
        <v>15.027719574626285</v>
      </c>
      <c r="F208" s="137">
        <f t="shared" si="2"/>
        <v>12.868737195738309</v>
      </c>
      <c r="G208" s="167">
        <f t="shared" si="3"/>
        <v>4.290368343687197</v>
      </c>
      <c r="H208" s="167">
        <f t="shared" si="4"/>
        <v>7.861796915115764</v>
      </c>
    </row>
    <row r="209" spans="3:8" ht="0.75" customHeight="1">
      <c r="C209" s="138">
        <f t="shared" si="6"/>
        <v>43.14506595065167</v>
      </c>
      <c r="D209" s="137">
        <f t="shared" si="0"/>
        <v>12.40683188064239</v>
      </c>
      <c r="E209" s="137">
        <f t="shared" si="1"/>
        <v>14.824617385838273</v>
      </c>
      <c r="F209" s="137">
        <f t="shared" si="2"/>
        <v>12.69481402140618</v>
      </c>
      <c r="G209" s="167">
        <f t="shared" si="3"/>
        <v>3.4274670246741663</v>
      </c>
      <c r="H209" s="167">
        <f t="shared" si="4"/>
        <v>6.998895596102733</v>
      </c>
    </row>
    <row r="210" spans="3:8" ht="0.75" customHeight="1">
      <c r="C210" s="138">
        <f t="shared" si="6"/>
        <v>44.87086858867774</v>
      </c>
      <c r="D210" s="137">
        <f t="shared" si="0"/>
        <v>12.24568595411709</v>
      </c>
      <c r="E210" s="137">
        <f t="shared" si="1"/>
        <v>14.63206809307714</v>
      </c>
      <c r="F210" s="137">
        <f t="shared" si="2"/>
        <v>12.529927643705062</v>
      </c>
      <c r="G210" s="167">
        <f t="shared" si="3"/>
        <v>2.56456570566113</v>
      </c>
      <c r="H210" s="167">
        <f t="shared" si="4"/>
        <v>6.135994277089696</v>
      </c>
    </row>
    <row r="211" spans="3:8" ht="0.75" customHeight="1">
      <c r="C211" s="138">
        <f t="shared" si="6"/>
        <v>46.596671226703805</v>
      </c>
      <c r="D211" s="137">
        <f t="shared" si="0"/>
        <v>12.092598831341078</v>
      </c>
      <c r="E211" s="137">
        <f t="shared" si="1"/>
        <v>14.449148066136658</v>
      </c>
      <c r="F211" s="137">
        <f t="shared" si="2"/>
        <v>12.373287127301692</v>
      </c>
      <c r="G211" s="167">
        <f t="shared" si="3"/>
        <v>1.701664386648099</v>
      </c>
      <c r="H211" s="167">
        <f t="shared" si="4"/>
        <v>5.273092958076665</v>
      </c>
    </row>
    <row r="212" spans="3:8" ht="0.75" customHeight="1">
      <c r="C212" s="138">
        <f t="shared" si="6"/>
        <v>48.32247386472987</v>
      </c>
      <c r="D212" s="137">
        <f t="shared" si="0"/>
        <v>11.946890682282529</v>
      </c>
      <c r="E212" s="137">
        <f t="shared" si="1"/>
        <v>14.275044992880545</v>
      </c>
      <c r="F212" s="137">
        <f t="shared" si="2"/>
        <v>12.224196862236713</v>
      </c>
      <c r="G212" s="167">
        <f t="shared" si="3"/>
        <v>0.8387630676350625</v>
      </c>
      <c r="H212" s="167">
        <f t="shared" si="4"/>
        <v>4.410191639063629</v>
      </c>
    </row>
    <row r="213" spans="3:8" ht="0.75" customHeight="1">
      <c r="C213" s="138">
        <f t="shared" si="6"/>
        <v>50.04827650275594</v>
      </c>
      <c r="D213" s="137">
        <f t="shared" si="0"/>
        <v>11.807960751549372</v>
      </c>
      <c r="E213" s="137">
        <f t="shared" si="1"/>
        <v>14.109041045509136</v>
      </c>
      <c r="F213" s="137">
        <f t="shared" si="2"/>
        <v>12.082042148637662</v>
      </c>
      <c r="G213" s="167">
        <f t="shared" si="3"/>
        <v>0</v>
      </c>
      <c r="H213" s="167">
        <f t="shared" si="4"/>
        <v>3.5472903200505983</v>
      </c>
    </row>
    <row r="214" spans="3:8" ht="0.75" customHeight="1">
      <c r="C214" s="138">
        <f t="shared" si="6"/>
        <v>51.77407914078201</v>
      </c>
      <c r="D214" s="137">
        <f t="shared" si="0"/>
        <v>11.675275803954257</v>
      </c>
      <c r="E214" s="137">
        <f t="shared" si="1"/>
        <v>13.950499074449905</v>
      </c>
      <c r="F214" s="137">
        <f t="shared" si="2"/>
        <v>11.946277374087273</v>
      </c>
      <c r="G214" s="167">
        <f t="shared" si="3"/>
        <v>0</v>
      </c>
      <c r="H214" s="167">
        <f t="shared" si="4"/>
        <v>2.6843890010375615</v>
      </c>
    </row>
    <row r="215" spans="3:8" ht="0.75" customHeight="1">
      <c r="C215" s="138">
        <f t="shared" si="6"/>
        <v>53.499881778808074</v>
      </c>
      <c r="D215" s="137">
        <f t="shared" si="0"/>
        <v>11.548360580373018</v>
      </c>
      <c r="E215" s="137">
        <f t="shared" si="1"/>
        <v>13.798851204298181</v>
      </c>
      <c r="F215" s="137">
        <f t="shared" si="2"/>
        <v>11.816416247947346</v>
      </c>
      <c r="G215" s="167">
        <f t="shared" si="3"/>
        <v>0</v>
      </c>
      <c r="H215" s="167">
        <f t="shared" si="4"/>
        <v>1.821487682024531</v>
      </c>
    </row>
    <row r="216" spans="3:8" ht="0.75" customHeight="1">
      <c r="C216" s="138">
        <f t="shared" si="6"/>
        <v>55.22568441683414</v>
      </c>
      <c r="D216" s="137">
        <f t="shared" si="0"/>
        <v>11.426789861655575</v>
      </c>
      <c r="E216" s="137">
        <f t="shared" si="1"/>
        <v>13.65358935118003</v>
      </c>
      <c r="F216" s="137">
        <f t="shared" si="2"/>
        <v>11.692023681060505</v>
      </c>
      <c r="G216" s="167">
        <f t="shared" si="3"/>
        <v>0</v>
      </c>
      <c r="H216" s="167">
        <f t="shared" si="4"/>
        <v>0.9585863630114944</v>
      </c>
    </row>
    <row r="217" spans="3:8" ht="0.75" customHeight="1">
      <c r="C217" s="138">
        <f t="shared" si="6"/>
        <v>56.95148705486021</v>
      </c>
      <c r="D217" s="137">
        <f t="shared" si="0"/>
        <v>11.310181828691585</v>
      </c>
      <c r="E217" s="137">
        <f t="shared" si="1"/>
        <v>13.514257288858502</v>
      </c>
      <c r="F217" s="137">
        <f t="shared" si="2"/>
        <v>11.572708991692501</v>
      </c>
      <c r="G217" s="167">
        <f t="shared" si="3"/>
        <v>0</v>
      </c>
      <c r="H217" s="167">
        <f t="shared" si="4"/>
        <v>0.09568504399846348</v>
      </c>
    </row>
    <row r="218" spans="3:8" ht="0.75" customHeight="1">
      <c r="C218" s="138">
        <f t="shared" si="6"/>
        <v>58.677289692886276</v>
      </c>
      <c r="D218" s="137">
        <f t="shared" si="0"/>
        <v>11.1981924747026</v>
      </c>
      <c r="E218" s="137">
        <f t="shared" si="1"/>
        <v>13.380443972119336</v>
      </c>
      <c r="F218" s="137">
        <f t="shared" si="2"/>
        <v>11.458120188124864</v>
      </c>
      <c r="G218" s="167">
        <f t="shared" si="3"/>
        <v>0</v>
      </c>
      <c r="H218" s="167">
        <f t="shared" si="4"/>
        <v>0</v>
      </c>
    </row>
    <row r="219" spans="3:8" ht="0.75" customHeight="1">
      <c r="C219" s="138">
        <f t="shared" si="6"/>
        <v>60.403092330912344</v>
      </c>
      <c r="D219" s="137">
        <f t="shared" si="0"/>
        <v>11.090510877455024</v>
      </c>
      <c r="E219" s="137">
        <f t="shared" si="1"/>
        <v>13.251777887654871</v>
      </c>
      <c r="F219" s="137">
        <f t="shared" si="2"/>
        <v>11.34793913112846</v>
      </c>
      <c r="G219" s="167">
        <f t="shared" si="3"/>
        <v>0</v>
      </c>
      <c r="H219" s="167">
        <f t="shared" si="4"/>
        <v>0</v>
      </c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2000-11-20T03:27:15Z</cp:lastPrinted>
  <dcterms:created xsi:type="dcterms:W3CDTF">1998-11-04T18:36:00Z</dcterms:created>
  <cp:category/>
  <cp:version/>
  <cp:contentType/>
  <cp:contentStatus/>
</cp:coreProperties>
</file>