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60" windowWidth="17580" windowHeight="9840" tabRatio="452" firstSheet="3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anscount" hidden="1">2</definedName>
    <definedName name="limcount" hidden="1">2</definedName>
    <definedName name="sencount" hidden="1">1</definedName>
    <definedName name="solver_adj" localSheetId="0" hidden="1">'Sheet3'!$B$9:$B$18</definedName>
    <definedName name="solver_adj" localSheetId="2" hidden="1">'Sheet3'!$B$9:$B$18</definedName>
    <definedName name="solver_adj" localSheetId="3" hidden="1">'Sheet4'!$B$6:$B$15</definedName>
    <definedName name="solver_adj" localSheetId="4" hidden="1">'Sheet5'!$B$12</definedName>
    <definedName name="solver_adj" localSheetId="5" hidden="1">'Sheet6'!$C$24:$C$34</definedName>
    <definedName name="solver_adj" localSheetId="6" hidden="1">'Sheet7'!$B$9:$B$19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lhs1" localSheetId="0" hidden="1">'Sheet3'!$B$9:$B$18</definedName>
    <definedName name="solver_lhs1" localSheetId="2" hidden="1">'Sheet3'!$B$9:$B$18</definedName>
    <definedName name="solver_lhs1" localSheetId="3" hidden="1">'Sheet4'!$C$16</definedName>
    <definedName name="solver_lhs1" localSheetId="4" hidden="1">'Sheet5'!$B$12</definedName>
    <definedName name="solver_lhs1" localSheetId="5" hidden="1">'Sheet6'!$C$24:$C$34</definedName>
    <definedName name="solver_lhs1" localSheetId="6" hidden="1">'Sheet7'!$B$9:$B$19</definedName>
    <definedName name="solver_lhs2" localSheetId="0" hidden="1">'Sheet3'!$C$19</definedName>
    <definedName name="solver_lhs2" localSheetId="2" hidden="1">'Sheet3'!$C$19</definedName>
    <definedName name="solver_lhs2" localSheetId="3" hidden="1">'Sheet4'!$B$6:$B$15</definedName>
    <definedName name="solver_lhs2" localSheetId="5" hidden="1">'Sheet6'!$G$38:$G$48</definedName>
    <definedName name="solver_lhs3" localSheetId="5" hidden="1">'Sheet6'!$L$38:$L$48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neg" localSheetId="0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um" localSheetId="0" hidden="1">2</definedName>
    <definedName name="solver_num" localSheetId="2" hidden="1">2</definedName>
    <definedName name="solver_num" localSheetId="3" hidden="1">2</definedName>
    <definedName name="solver_num" localSheetId="4" hidden="1">1</definedName>
    <definedName name="solver_num" localSheetId="5" hidden="1">1</definedName>
    <definedName name="solver_num" localSheetId="6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0" hidden="1">'Sheet3'!$D$21</definedName>
    <definedName name="solver_opt" localSheetId="2" hidden="1">'Sheet3'!$D$21</definedName>
    <definedName name="solver_opt" localSheetId="3" hidden="1">'Sheet4'!$D$17</definedName>
    <definedName name="solver_opt" localSheetId="4" hidden="1">'Sheet5'!$B$13</definedName>
    <definedName name="solver_opt" localSheetId="5" hidden="1">'Sheet6'!$E$35</definedName>
    <definedName name="solver_opt" localSheetId="6" hidden="1">'Sheet7'!$D$21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el1" localSheetId="0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2" localSheetId="0" hidden="1">3</definedName>
    <definedName name="solver_rel2" localSheetId="2" hidden="1">3</definedName>
    <definedName name="solver_rel2" localSheetId="3" hidden="1">3</definedName>
    <definedName name="solver_rel2" localSheetId="5" hidden="1">3</definedName>
    <definedName name="solver_rel3" localSheetId="5" hidden="1">1</definedName>
    <definedName name="solver_rhs1" localSheetId="0" hidden="1">0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rhs1" localSheetId="6" hidden="1">0</definedName>
    <definedName name="solver_rhs2" localSheetId="0" hidden="1">0</definedName>
    <definedName name="solver_rhs2" localSheetId="2" hidden="1">0</definedName>
    <definedName name="solver_rhs2" localSheetId="3" hidden="1">0</definedName>
    <definedName name="solver_rhs2" localSheetId="5" hidden="1">'Sheet6'!$G$24:$G$34</definedName>
    <definedName name="solver_rhs3" localSheetId="5" hidden="1">'Sheet6'!$L$24:$L$34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0" hidden="1">1</definedName>
    <definedName name="solver_typ" localSheetId="2" hidden="1">1</definedName>
    <definedName name="solver_typ" localSheetId="3" hidden="1">1</definedName>
    <definedName name="solver_typ" localSheetId="4" hidden="1">3</definedName>
    <definedName name="solver_typ" localSheetId="5" hidden="1">1</definedName>
    <definedName name="solver_typ" localSheetId="6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<sst xmlns="http://schemas.openxmlformats.org/spreadsheetml/2006/main" count="762" uniqueCount="457">
  <si>
    <t>canonical system.  For minimization, the objective function can simply be multiplied by -1 as in concave</t>
  </si>
  <si>
    <t xml:space="preserve">F(X)=rX(1-X/K)     </t>
  </si>
  <si>
    <t xml:space="preserve">   Y(E) = qKE(1-q/r)E)</t>
  </si>
  <si>
    <t>is sufficient for a maximum if the test is conducted for every possible ordering of the variables with similar</t>
  </si>
  <si>
    <t>results.  Using the example in section B, we take the objective functional, which is nonlinear, and</t>
  </si>
  <si>
    <t>y(t) =</t>
  </si>
  <si>
    <t>From equation equation 8</t>
  </si>
  <si>
    <t>we substitute this into equation 16 to get  the control variable:</t>
  </si>
  <si>
    <t>For nonlinear functions, an easy test for joint concavity is the simple discriminant test.  Given the discriminant</t>
  </si>
  <si>
    <t>y,    and</t>
  </si>
  <si>
    <t>The corresponding Hamiltonian function is:</t>
  </si>
  <si>
    <t>H =</t>
  </si>
  <si>
    <t>We first assume an interior solution, i.e., no endpoint solution.  The first-order conditions are:</t>
  </si>
  <si>
    <t>, i.e.</t>
  </si>
  <si>
    <t>=</t>
  </si>
  <si>
    <r>
      <t>d</t>
    </r>
    <r>
      <rPr>
        <sz val="12"/>
        <rFont val="Helv"/>
        <family val="0"/>
      </rPr>
      <t xml:space="preserve"> =</t>
    </r>
  </si>
  <si>
    <r>
      <t>r</t>
    </r>
    <r>
      <rPr>
        <sz val="12"/>
        <rFont val="Helv"/>
        <family val="0"/>
      </rPr>
      <t xml:space="preserve"> =</t>
    </r>
  </si>
  <si>
    <r>
      <t>l</t>
    </r>
    <r>
      <rPr>
        <sz val="12"/>
        <rFont val="Helv"/>
        <family val="0"/>
      </rPr>
      <t>10 =</t>
    </r>
  </si>
  <si>
    <t>t</t>
  </si>
  <si>
    <t>qt</t>
  </si>
  <si>
    <t>Rt</t>
  </si>
  <si>
    <t xml:space="preserve"> Now substitute the solution values for c1 and c2 into 10. and 12.  to yield the state and costate variables:</t>
  </si>
  <si>
    <t>t       +</t>
  </si>
  <si>
    <t xml:space="preserve"> the costate variable</t>
  </si>
  <si>
    <t xml:space="preserve"> the state variable</t>
  </si>
  <si>
    <t>For the semidefinite test we must test the variables in reverse order.</t>
  </si>
  <si>
    <t>where:</t>
  </si>
  <si>
    <r>
      <t xml:space="preserve"> |D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| =</t>
    </r>
  </si>
  <si>
    <t>With both discriminant tests negative semidefinite, the objective functional f is jointly concave in x and y.  Since</t>
  </si>
  <si>
    <t>comprising the maximum condition, remain the same, but the third or</t>
  </si>
  <si>
    <t>boundary condition changes:</t>
  </si>
  <si>
    <t>optimal harvesting rate of a single renewable natural resource subject to a constant target stock</t>
  </si>
  <si>
    <t>rate, technological change, and then place this within a multi-species framework to consider</t>
  </si>
  <si>
    <t xml:space="preserve">both deterministic and stochastic cases.  </t>
  </si>
  <si>
    <t xml:space="preserve">     The framework of optimal control problems is dynamic constrained optimization.  Under conditions</t>
  </si>
  <si>
    <t>We now evaluate y(t) at the respective endpoints defined in equation 4:</t>
  </si>
  <si>
    <t xml:space="preserve"> +</t>
  </si>
  <si>
    <t xml:space="preserve">  =</t>
  </si>
  <si>
    <t>The optimal path of the control variable is linear starting at</t>
  </si>
  <si>
    <t>and ending at</t>
  </si>
  <si>
    <t>and</t>
  </si>
  <si>
    <t>r1 =</t>
  </si>
  <si>
    <t>r2 =</t>
  </si>
  <si>
    <t>Whether a natural growth function will achieve stability in the level of stocks depends on the growth rate,</t>
  </si>
  <si>
    <t>(A.ARenResourceOptControl.xls, sheet 5)</t>
  </si>
  <si>
    <t>S =</t>
  </si>
  <si>
    <t>IRBt</t>
  </si>
  <si>
    <t>c.v.</t>
  </si>
  <si>
    <t>jointly concave in x and y, and</t>
  </si>
  <si>
    <t>Optimal Pricing of Biodiverse Renewable Natural Resources</t>
  </si>
  <si>
    <t>Optimal Harvesting of Biodiverse Renewable Natural Resources</t>
  </si>
  <si>
    <t>(A.ARenResourceOptControl.xls, sheet 7)</t>
  </si>
  <si>
    <r>
      <t>X* = K(r-</t>
    </r>
    <r>
      <rPr>
        <sz val="10"/>
        <rFont val="Symbol"/>
        <family val="0"/>
      </rPr>
      <t>d</t>
    </r>
    <r>
      <rPr>
        <sz val="10"/>
        <rFont val="Helv"/>
        <family val="0"/>
      </rPr>
      <t>)/2r</t>
    </r>
  </si>
  <si>
    <r>
      <t>Y* = K(r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-</t>
    </r>
    <r>
      <rPr>
        <sz val="10"/>
        <rFont val="Symbol"/>
        <family val="0"/>
      </rPr>
      <t>d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)/4r</t>
    </r>
  </si>
  <si>
    <r>
      <t>l</t>
    </r>
    <r>
      <rPr>
        <sz val="10"/>
        <rFont val="Helv"/>
        <family val="0"/>
      </rPr>
      <t>* = (1+</t>
    </r>
    <r>
      <rPr>
        <sz val="10"/>
        <rFont val="Symbol"/>
        <family val="0"/>
      </rPr>
      <t>d</t>
    </r>
    <r>
      <rPr>
        <sz val="10"/>
        <rFont val="Helv"/>
        <family val="0"/>
      </rPr>
      <t>)[a-bK(r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-d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)/(4r)]</t>
    </r>
  </si>
  <si>
    <t xml:space="preserve"> =shadow price today</t>
  </si>
  <si>
    <r>
      <t>Net growth is given as F(X) = rX(1-X/K).  F'(X) = r(1-2X/K) =</t>
    </r>
    <r>
      <rPr>
        <sz val="10"/>
        <rFont val="Symbol"/>
        <family val="0"/>
      </rPr>
      <t xml:space="preserve"> d</t>
    </r>
  </si>
  <si>
    <t xml:space="preserve">                    Harvesting:</t>
  </si>
  <si>
    <t xml:space="preserve">         Production</t>
  </si>
  <si>
    <t xml:space="preserve">     If the Hamiltonian is differentiable in y and strictly concave so that there is an interior solution and not</t>
  </si>
  <si>
    <t>an endpoint solution, the necessary conditions for maximization are:</t>
  </si>
  <si>
    <t>a.</t>
  </si>
  <si>
    <t>b.</t>
  </si>
  <si>
    <t>c.</t>
  </si>
  <si>
    <t>The first two conditions are known as the maximum principle and the third is the boundary condition.  The</t>
  </si>
  <si>
    <t>two equations of motion in the second condition are generally referred to as the Hamiltonian system or the</t>
  </si>
  <si>
    <t>Optimal Control Theory for Renewable Natural Resources</t>
  </si>
  <si>
    <t>function, which is simiilar to a static optimization Lagrangian function in concave programming.  The</t>
  </si>
  <si>
    <t>definition of a Hamiltonian is:</t>
  </si>
  <si>
    <r>
      <t>In turn, the optimal harvest rate will be determined by Y*=rX*(1-X*/K), which reduces to Y*=(K(r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-</t>
    </r>
    <r>
      <rPr>
        <sz val="12"/>
        <rFont val="Symbol"/>
        <family val="0"/>
      </rPr>
      <t>d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))/4r.</t>
    </r>
  </si>
  <si>
    <t>We now use this with Solver to solve the explicit problem:</t>
  </si>
  <si>
    <t>Fishery Production Functions</t>
  </si>
  <si>
    <t>costate variable estimates the marginal value, or shadow price, of the associated state variable x(t).</t>
  </si>
  <si>
    <t>Formulation of the Hamilton is done by taking the integrand under the integral sign and adding to it</t>
  </si>
  <si>
    <t>Yo =</t>
  </si>
  <si>
    <t>Harvest</t>
  </si>
  <si>
    <t>Production</t>
  </si>
  <si>
    <t>Baseline</t>
  </si>
  <si>
    <t>Optimal</t>
  </si>
  <si>
    <t>Xo =</t>
  </si>
  <si>
    <t>r =</t>
  </si>
  <si>
    <t>K =</t>
  </si>
  <si>
    <r>
      <t>X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 xml:space="preserve"> =</t>
    </r>
  </si>
  <si>
    <r>
      <t>K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 xml:space="preserve"> =</t>
    </r>
  </si>
  <si>
    <t>X</t>
  </si>
  <si>
    <t>Stability of Population Dyamics</t>
  </si>
  <si>
    <t>Xt(A.)</t>
  </si>
  <si>
    <t>B .</t>
  </si>
  <si>
    <t>Xt(B.)</t>
  </si>
  <si>
    <t>Xt(C.)</t>
  </si>
  <si>
    <t>Xt(D.)</t>
  </si>
  <si>
    <r>
      <t>X</t>
    </r>
    <r>
      <rPr>
        <vertAlign val="subscript"/>
        <sz val="12"/>
        <rFont val="Helv"/>
        <family val="0"/>
      </rPr>
      <t>0</t>
    </r>
    <r>
      <rPr>
        <sz val="12"/>
        <rFont val="Helv"/>
        <family val="0"/>
      </rPr>
      <t xml:space="preserve"> =</t>
    </r>
  </si>
  <si>
    <t xml:space="preserve">t   </t>
  </si>
  <si>
    <t>Mean</t>
  </si>
  <si>
    <t>Stdev.</t>
  </si>
  <si>
    <t>We now use the boundary conditions to specify the constants of integration.  To do so we start with the</t>
  </si>
  <si>
    <t xml:space="preserve">    =</t>
  </si>
  <si>
    <t xml:space="preserve">which we now substitute in the right-hand side </t>
  </si>
  <si>
    <t>of equation 37:</t>
  </si>
  <si>
    <t>Two alternatives are possible to derive the control variable y(t).  The first is:</t>
  </si>
  <si>
    <t>Example of An Optimal Control Problem</t>
  </si>
  <si>
    <t>From this we define the costate variable as:</t>
  </si>
  <si>
    <t>From equations 40 and 42, we obtain the state variable as:</t>
  </si>
  <si>
    <r>
      <t xml:space="preserve">   + c</t>
    </r>
    <r>
      <rPr>
        <vertAlign val="subscript"/>
        <sz val="18"/>
        <rFont val="Helv"/>
        <family val="0"/>
      </rPr>
      <t>2</t>
    </r>
  </si>
  <si>
    <r>
      <t xml:space="preserve">  + c</t>
    </r>
    <r>
      <rPr>
        <vertAlign val="subscript"/>
        <sz val="18"/>
        <rFont val="Helv"/>
        <family val="0"/>
      </rPr>
      <t>2</t>
    </r>
  </si>
  <si>
    <t xml:space="preserve"> Logistical Growth Function:</t>
  </si>
  <si>
    <t>Initial Harvest rate</t>
  </si>
  <si>
    <t>Initial Production rate</t>
  </si>
  <si>
    <t>Net benefits function 1st term</t>
  </si>
  <si>
    <t>Net benefits function 2nd term</t>
  </si>
  <si>
    <t xml:space="preserve">          Net Benefit function:</t>
  </si>
  <si>
    <t>We now evaluate the control variable at the respective endpoints:</t>
  </si>
  <si>
    <t xml:space="preserve"> =</t>
  </si>
  <si>
    <t xml:space="preserve"> = </t>
  </si>
  <si>
    <t>and:</t>
  </si>
  <si>
    <t>Testing for sufficiency, we calculate the second derivaties of the objective functional and apply the</t>
  </si>
  <si>
    <t>Interdependent Species Dynamic Maximization</t>
  </si>
  <si>
    <t>From the application of the maximum principle above, we now have two differential equations, which we</t>
  </si>
  <si>
    <t>dt  =</t>
  </si>
  <si>
    <r>
      <t>t  + c</t>
    </r>
    <r>
      <rPr>
        <vertAlign val="subscript"/>
        <sz val="18"/>
        <rFont val="Helv"/>
        <family val="0"/>
      </rPr>
      <t>1</t>
    </r>
  </si>
  <si>
    <t xml:space="preserve">   Substituting from equation 9,</t>
  </si>
  <si>
    <t>carnivore predator</t>
  </si>
  <si>
    <t>X1 opt =</t>
  </si>
  <si>
    <t xml:space="preserve">        a function will be strictly concave if the </t>
  </si>
  <si>
    <r>
      <t xml:space="preserve">transversality condition </t>
    </r>
    <r>
      <rPr>
        <sz val="12"/>
        <rFont val="Symbol"/>
        <family val="0"/>
      </rPr>
      <t>l</t>
    </r>
    <r>
      <rPr>
        <sz val="12"/>
        <rFont val="Helv"/>
        <family val="0"/>
      </rPr>
      <t>(T)=0 for a free endpoint.  Thus,</t>
    </r>
  </si>
  <si>
    <t>then take the second derivatives and apply the discriminant test.</t>
  </si>
  <si>
    <t>D =</t>
  </si>
  <si>
    <t xml:space="preserve">    where:</t>
  </si>
  <si>
    <r>
      <t>|D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| = |D| =</t>
    </r>
  </si>
  <si>
    <t>In this case,</t>
  </si>
  <si>
    <r>
      <t>D fails the strict negative-definite criteria but proves to be negative semidefinite with |D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| ≤ 0 and |D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|≥0.</t>
    </r>
  </si>
  <si>
    <t>Optimal Depletion of an Exhaustible Resource</t>
  </si>
  <si>
    <t>B.</t>
  </si>
  <si>
    <t xml:space="preserve">always sufficient for a maximum.  A negative semidefinite discriminant is indicative of a local maximum and </t>
  </si>
  <si>
    <t>equation set to equal to the rate of change in x in the constraint, and whose value</t>
  </si>
  <si>
    <t>Integrating equation 11:</t>
  </si>
  <si>
    <r>
      <t>l</t>
    </r>
    <r>
      <rPr>
        <sz val="12"/>
        <rFont val="Helv"/>
        <family val="0"/>
      </rPr>
      <t>* = (1+</t>
    </r>
    <r>
      <rPr>
        <sz val="12"/>
        <rFont val="Symbol"/>
        <family val="0"/>
      </rPr>
      <t>d</t>
    </r>
    <r>
      <rPr>
        <sz val="12"/>
        <rFont val="Helv"/>
        <family val="0"/>
      </rPr>
      <t>)[a-bK(r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-d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)/(4r)]</t>
    </r>
  </si>
  <si>
    <t>Reset Initialization</t>
  </si>
  <si>
    <t>Under tools, select solver</t>
  </si>
  <si>
    <t>Select solution cell</t>
  </si>
  <si>
    <t>Select constraint 1</t>
  </si>
  <si>
    <t>$d$21</t>
  </si>
  <si>
    <t>Select constraint 2</t>
  </si>
  <si>
    <t>$b$9:$b$18≥0</t>
  </si>
  <si>
    <t>Using solver to find the optimal solution path:</t>
  </si>
  <si>
    <t>$c$19≥0</t>
  </si>
  <si>
    <t>C.</t>
  </si>
  <si>
    <t xml:space="preserve">   If an optimal control solution has been satisfied, the sufficiency conditions will be fulfilled if:</t>
  </si>
  <si>
    <t xml:space="preserve">a. </t>
  </si>
  <si>
    <t xml:space="preserve">Both the objective functional </t>
  </si>
  <si>
    <t>and the constraint</t>
  </si>
  <si>
    <t xml:space="preserve">endpoint solution, the correct solution has been found.  If the optimal value of the state variable is less than </t>
  </si>
  <si>
    <t>and simply concave if the discriminate is negative semidefinite,</t>
  </si>
  <si>
    <r>
      <t xml:space="preserve">be nonbinding and the shadow price </t>
    </r>
    <r>
      <rPr>
        <sz val="12"/>
        <rFont val="Symbol"/>
        <family val="0"/>
      </rPr>
      <t>l</t>
    </r>
    <r>
      <rPr>
        <sz val="12"/>
        <rFont val="Helv"/>
        <family val="0"/>
      </rPr>
      <t xml:space="preserve"> evaluated at T must equal 0, i.e., </t>
    </r>
    <r>
      <rPr>
        <sz val="12"/>
        <rFont val="Symbol"/>
        <family val="0"/>
      </rPr>
      <t>l</t>
    </r>
    <r>
      <rPr>
        <sz val="12"/>
        <rFont val="Helv"/>
        <family val="0"/>
      </rPr>
      <t xml:space="preserve">(T)=0.  </t>
    </r>
  </si>
  <si>
    <r>
      <t>l</t>
    </r>
    <r>
      <rPr>
        <sz val="12"/>
        <rFont val="Helv"/>
        <family val="0"/>
      </rPr>
      <t>(t) =</t>
    </r>
  </si>
  <si>
    <t>dt        =</t>
  </si>
  <si>
    <t xml:space="preserve">       A negative definite discriminant indicates a global maximum and is</t>
  </si>
  <si>
    <r>
      <t xml:space="preserve">l </t>
    </r>
    <r>
      <rPr>
        <sz val="12"/>
        <rFont val="Helv"/>
        <family val="0"/>
      </rPr>
      <t>)   =</t>
    </r>
  </si>
  <si>
    <t>leads to:</t>
  </si>
  <si>
    <r>
      <t xml:space="preserve">the product of the costate variable </t>
    </r>
    <r>
      <rPr>
        <sz val="12"/>
        <rFont val="Symbol"/>
        <family val="0"/>
      </rPr>
      <t>l</t>
    </r>
    <r>
      <rPr>
        <sz val="12"/>
        <rFont val="Helv"/>
        <family val="0"/>
      </rPr>
      <t>(t) times the constraint.</t>
    </r>
  </si>
  <si>
    <t xml:space="preserve">     The dynamic constrained formulation of an optimal control problem is referred to as a Hamiltonian</t>
  </si>
  <si>
    <t>Linear functions always are both concave and convex, but neither strictly concave nor strictly convex.</t>
  </si>
  <si>
    <t>economic growth.  Sustainability requires that the stock of a renewable resource be at least constant</t>
  </si>
  <si>
    <t>the solution of a problem, if the optimal value of the state variable exceeds the minimum required by the</t>
  </si>
  <si>
    <t>with a slope of</t>
  </si>
  <si>
    <t>P.LeBel</t>
  </si>
  <si>
    <t>©2001</t>
  </si>
  <si>
    <r>
      <t>p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/q = P(q)-c(q) =</t>
    </r>
  </si>
  <si>
    <t>MSY = rk/4 =</t>
  </si>
  <si>
    <t>PVNB-0</t>
  </si>
  <si>
    <t>free</t>
  </si>
  <si>
    <t xml:space="preserve">Since from equation 34, </t>
  </si>
  <si>
    <t xml:space="preserve">   Substituting,</t>
  </si>
  <si>
    <t>Integrating:</t>
  </si>
  <si>
    <t>which reduces to:</t>
  </si>
  <si>
    <t>y       +</t>
  </si>
  <si>
    <t>y =</t>
  </si>
  <si>
    <t xml:space="preserve">Since from equation 6, </t>
  </si>
  <si>
    <r>
      <t xml:space="preserve">  +C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 =</t>
    </r>
  </si>
  <si>
    <t xml:space="preserve">as long as there are no substitutes.  In this limiting case, we consider how one can define the </t>
  </si>
  <si>
    <t>Maximum production rate</t>
  </si>
  <si>
    <t>Maximum harvest rate</t>
  </si>
  <si>
    <t xml:space="preserve">t </t>
  </si>
  <si>
    <t>y         +</t>
  </si>
  <si>
    <r>
      <t>l</t>
    </r>
    <r>
      <rPr>
        <vertAlign val="subscript"/>
        <sz val="12"/>
        <rFont val="Helv"/>
        <family val="0"/>
      </rPr>
      <t>o</t>
    </r>
    <r>
      <rPr>
        <sz val="12"/>
        <rFont val="Helv"/>
        <family val="0"/>
      </rPr>
      <t xml:space="preserve"> =</t>
    </r>
  </si>
  <si>
    <r>
      <t>r</t>
    </r>
    <r>
      <rPr>
        <vertAlign val="superscript"/>
        <sz val="18"/>
        <rFont val="Helv"/>
        <family val="0"/>
      </rPr>
      <t>t</t>
    </r>
    <r>
      <rPr>
        <sz val="12"/>
        <rFont val="Symbol"/>
        <family val="0"/>
      </rPr>
      <t>p</t>
    </r>
    <r>
      <rPr>
        <sz val="12"/>
        <rFont val="Helv"/>
        <family val="0"/>
      </rPr>
      <t>(Y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</t>
    </r>
  </si>
  <si>
    <r>
      <t>q</t>
    </r>
    <r>
      <rPr>
        <vertAlign val="subscript"/>
        <sz val="18"/>
        <rFont val="Helv"/>
        <family val="0"/>
      </rPr>
      <t>t</t>
    </r>
  </si>
  <si>
    <r>
      <t>R</t>
    </r>
    <r>
      <rPr>
        <vertAlign val="subscript"/>
        <sz val="18"/>
        <rFont val="Helv"/>
        <family val="0"/>
      </rPr>
      <t>t</t>
    </r>
  </si>
  <si>
    <r>
      <t>PVNB</t>
    </r>
    <r>
      <rPr>
        <vertAlign val="subscript"/>
        <sz val="18"/>
        <rFont val="Helv"/>
        <family val="0"/>
      </rPr>
      <t>t</t>
    </r>
  </si>
  <si>
    <t>of the second-order derivatives of a function,</t>
  </si>
  <si>
    <r>
      <t>Y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 xml:space="preserve"> = qX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E</t>
    </r>
    <r>
      <rPr>
        <vertAlign val="subscript"/>
        <sz val="18"/>
        <rFont val="Helv"/>
        <family val="0"/>
      </rPr>
      <t>t</t>
    </r>
  </si>
  <si>
    <r>
      <t>Y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 xml:space="preserve"> = 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(1-e</t>
    </r>
    <r>
      <rPr>
        <vertAlign val="superscript"/>
        <sz val="18"/>
        <rFont val="Helv"/>
        <family val="0"/>
      </rPr>
      <t>-qE</t>
    </r>
    <r>
      <rPr>
        <sz val="12"/>
        <rFont val="Helv"/>
        <family val="0"/>
      </rPr>
      <t>t)</t>
    </r>
  </si>
  <si>
    <t>q is often referred to as a "catchability coefficient."</t>
  </si>
  <si>
    <t xml:space="preserve">Now, for F(X) = rX(1-X/K) and the CPUE (Catch per Unit Effort) </t>
  </si>
  <si>
    <t>production function, Y = H(X,E) = qXE, the steady-state condition H(X,E) = F(X) implies:</t>
  </si>
  <si>
    <t>the constraint is linear, it also is jointly concave and does not need testing.  We conclude that the functional</t>
  </si>
  <si>
    <t>is maximized.</t>
  </si>
  <si>
    <t>D.</t>
  </si>
  <si>
    <r>
      <t>l</t>
    </r>
    <r>
      <rPr>
        <sz val="12"/>
        <rFont val="Helv"/>
        <family val="0"/>
      </rPr>
      <t>(T)≥0, X(T)≥X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, and  [x(T)-x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]</t>
    </r>
    <r>
      <rPr>
        <sz val="12"/>
        <rFont val="Symbol"/>
        <family val="0"/>
      </rPr>
      <t>l</t>
    </r>
    <r>
      <rPr>
        <sz val="12"/>
        <rFont val="Helv"/>
        <family val="0"/>
      </rPr>
      <t>(T)=0.  Solving problems with inequality constraints is straightforward.  From</t>
    </r>
  </si>
  <si>
    <r>
      <t xml:space="preserve">   + c</t>
    </r>
    <r>
      <rPr>
        <vertAlign val="subscript"/>
        <sz val="18"/>
        <rFont val="Helv"/>
        <family val="0"/>
      </rPr>
      <t>1   =</t>
    </r>
  </si>
  <si>
    <t>Inequality Constraints in the Endpoints</t>
  </si>
  <si>
    <t>F.</t>
  </si>
  <si>
    <r>
      <t>If the terminal value of the state variable is subject to an inequality constraint, x(T)≥x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, the optimal value</t>
    </r>
  </si>
  <si>
    <r>
      <t>A. F(X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)=rX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(1-X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/K)</t>
    </r>
  </si>
  <si>
    <r>
      <t>B. F(X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)=X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[e</t>
    </r>
    <r>
      <rPr>
        <vertAlign val="superscript"/>
        <sz val="18"/>
        <rFont val="Helv"/>
        <family val="0"/>
      </rPr>
      <t>r(t-r/K)</t>
    </r>
    <r>
      <rPr>
        <sz val="12"/>
        <rFont val="Helv"/>
        <family val="0"/>
      </rPr>
      <t>-1]</t>
    </r>
  </si>
  <si>
    <r>
      <t>C. F(X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 = rX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ln(K/X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</t>
    </r>
  </si>
  <si>
    <r>
      <t>D. F(X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)=rX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(X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/K0-1)(1-X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>/K)</t>
    </r>
  </si>
  <si>
    <r>
      <t>solve for the state variables x(t) and the costate variable</t>
    </r>
    <r>
      <rPr>
        <sz val="12"/>
        <rFont val="Symbol"/>
        <family val="0"/>
      </rPr>
      <t xml:space="preserve"> l</t>
    </r>
    <r>
      <rPr>
        <sz val="12"/>
        <rFont val="Helv"/>
        <family val="0"/>
      </rPr>
      <t>t.  To do so, we first integrate to find the costate variable</t>
    </r>
  </si>
  <si>
    <t>l</t>
  </si>
  <si>
    <r>
      <t>l</t>
    </r>
    <r>
      <rPr>
        <sz val="12"/>
        <rFont val="Helv"/>
        <family val="0"/>
      </rPr>
      <t xml:space="preserve"> =</t>
    </r>
  </si>
  <si>
    <t>Conrad, p. 29</t>
  </si>
  <si>
    <t>Optimal Harvest of a Renewable Natural Resource</t>
  </si>
  <si>
    <t>p.28</t>
  </si>
  <si>
    <r>
      <t>Y* = K(r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-</t>
    </r>
    <r>
      <rPr>
        <sz val="12"/>
        <rFont val="Symbol"/>
        <family val="0"/>
      </rPr>
      <t>d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)/4r</t>
    </r>
  </si>
  <si>
    <r>
      <t>X* = K(r-</t>
    </r>
    <r>
      <rPr>
        <sz val="12"/>
        <rFont val="Symbol"/>
        <family val="0"/>
      </rPr>
      <t>d</t>
    </r>
    <r>
      <rPr>
        <sz val="12"/>
        <rFont val="Helv"/>
        <family val="0"/>
      </rPr>
      <t>)/2r</t>
    </r>
  </si>
  <si>
    <r>
      <t>Net growth is given as F(X) = rX(1-X/K).  F'(X) = r(1-2X/K) =</t>
    </r>
    <r>
      <rPr>
        <sz val="12"/>
        <rFont val="Symbol"/>
        <family val="0"/>
      </rPr>
      <t xml:space="preserve"> d</t>
    </r>
  </si>
  <si>
    <t>(A.ARenResourceOptControl.xls, sheet 3)</t>
  </si>
  <si>
    <t xml:space="preserve"> and substitute this in the equation of motion in the</t>
  </si>
  <si>
    <t>constraint:</t>
  </si>
  <si>
    <t xml:space="preserve">y, </t>
  </si>
  <si>
    <t xml:space="preserve">   =</t>
  </si>
  <si>
    <t xml:space="preserve">Thus </t>
  </si>
  <si>
    <t>These endpoint conditions are often reduced to a single set of constraints similar to the Kuhn-Tucker condition:</t>
  </si>
  <si>
    <r>
      <t>setting x(T) = 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 xml:space="preserve">, which is equivalent to a fixed-end problem with </t>
    </r>
    <r>
      <rPr>
        <sz val="12"/>
        <rFont val="Symbol"/>
        <family val="0"/>
      </rPr>
      <t>l</t>
    </r>
    <r>
      <rPr>
        <sz val="12"/>
        <rFont val="Helv"/>
        <family val="0"/>
      </rPr>
      <t>(T)≥0 when x*(T) = 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.</t>
    </r>
  </si>
  <si>
    <r>
      <t xml:space="preserve"> l</t>
    </r>
    <r>
      <rPr>
        <sz val="12"/>
        <rFont val="Helv"/>
        <family val="0"/>
      </rPr>
      <t>)   =</t>
    </r>
  </si>
  <si>
    <t>condition follows from the rules in concave programming.  If the value of x at T is free to vary, the constraint must</t>
  </si>
  <si>
    <t>E.</t>
  </si>
  <si>
    <t>Example of an Optimal Control Problem with a Free Endpoint</t>
  </si>
  <si>
    <t xml:space="preserve">     Maximize the following problem:</t>
  </si>
  <si>
    <t>x(t) = the state variable, which changes over time according to the differential</t>
  </si>
  <si>
    <t>is indirectly determined by the control variable in the constraint; and t = time.</t>
  </si>
  <si>
    <r>
      <t>l</t>
    </r>
    <r>
      <rPr>
        <sz val="12"/>
        <rFont val="Helv"/>
        <family val="0"/>
      </rPr>
      <t>(T)=0 when x*(T)&gt;x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. If x*(T)&lt;x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, the constraint is binding and the optimal solution will involve</t>
    </r>
  </si>
  <si>
    <r>
      <t>If net growth is given by F(X)=r(X(1-X/K), then F'(X) = r(1-2X/K)=</t>
    </r>
    <r>
      <rPr>
        <sz val="12"/>
        <rFont val="Symbol"/>
        <family val="0"/>
      </rPr>
      <t>d</t>
    </r>
    <r>
      <rPr>
        <sz val="12"/>
        <rFont val="Helv"/>
        <family val="0"/>
      </rPr>
      <t>.  Solving for X yields: X*=(K(r-</t>
    </r>
    <r>
      <rPr>
        <sz val="12"/>
        <rFont val="Symbol"/>
        <family val="0"/>
      </rPr>
      <t>d</t>
    </r>
    <r>
      <rPr>
        <sz val="12"/>
        <rFont val="Helv"/>
        <family val="0"/>
      </rPr>
      <t>))/2r</t>
    </r>
  </si>
  <si>
    <t xml:space="preserve">          Carnivore</t>
  </si>
  <si>
    <t xml:space="preserve"> = shadow price today</t>
  </si>
  <si>
    <t xml:space="preserve">                  Harvest of X1</t>
  </si>
  <si>
    <t xml:space="preserve">           Production of X1</t>
  </si>
  <si>
    <t xml:space="preserve">             Harvest of X2</t>
  </si>
  <si>
    <t xml:space="preserve">           Production of X2</t>
  </si>
  <si>
    <t xml:space="preserve">           Harvest of X3</t>
  </si>
  <si>
    <t xml:space="preserve">            Production of X3</t>
  </si>
  <si>
    <t>The solution demarcates the optimal dynamic time path for the control variable y(t).</t>
  </si>
  <si>
    <t>are differentiable and</t>
  </si>
  <si>
    <t>x(t) =</t>
  </si>
  <si>
    <r>
      <t>c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)dt</t>
    </r>
  </si>
  <si>
    <t>We now apply the initial boundary condition,</t>
  </si>
  <si>
    <t>Thus, the state variable is:</t>
  </si>
  <si>
    <t>The control variable y(t) is then found in one of two ways.  The first way is to recall from equation that</t>
  </si>
  <si>
    <t>y(t)  =</t>
  </si>
  <si>
    <t xml:space="preserve"> which when substituted from equation 43 results in:</t>
  </si>
  <si>
    <t>i.e., the control variable.</t>
  </si>
  <si>
    <t>the minimum value of the constraint, set the terminal endpoint equal to the value of the constraint and solve</t>
  </si>
  <si>
    <t xml:space="preserve">as a fixed endpoint problem.  </t>
  </si>
  <si>
    <t>G.</t>
  </si>
  <si>
    <t>We first assume an unconstrained problem with a free endpoint.  The first-order conditions are:</t>
  </si>
  <si>
    <t>discriminant test:</t>
  </si>
  <si>
    <t>discount rate</t>
  </si>
  <si>
    <t>terminal year extraction constraint</t>
  </si>
  <si>
    <t>initialization value of arbitrary extraction rate</t>
  </si>
  <si>
    <t>R =</t>
  </si>
  <si>
    <r>
      <t>q</t>
    </r>
    <r>
      <rPr>
        <vertAlign val="subscript"/>
        <sz val="18"/>
        <rFont val="Helv"/>
        <family val="0"/>
      </rPr>
      <t>o</t>
    </r>
    <r>
      <rPr>
        <sz val="12"/>
        <rFont val="Helv"/>
        <family val="0"/>
      </rPr>
      <t xml:space="preserve"> =</t>
    </r>
  </si>
  <si>
    <r>
      <t>l</t>
    </r>
    <r>
      <rPr>
        <vertAlign val="subscript"/>
        <sz val="18"/>
        <rFont val="Helv"/>
        <family val="0"/>
      </rPr>
      <t>10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</si>
  <si>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t</t>
    </r>
    <r>
      <rPr>
        <sz val="12"/>
        <rFont val="Helv"/>
        <family val="0"/>
      </rPr>
      <t xml:space="preserve"> = </t>
    </r>
  </si>
  <si>
    <t>ln(1+qt) = PVNBt</t>
  </si>
  <si>
    <t>discount factor</t>
  </si>
  <si>
    <t>Solutions:</t>
  </si>
  <si>
    <t>d</t>
  </si>
  <si>
    <t>PVNB</t>
  </si>
  <si>
    <t xml:space="preserve">p(q)= </t>
  </si>
  <si>
    <t>c(q)=</t>
  </si>
  <si>
    <t>Optimal Allocation of Exhaustible Resources Over Time</t>
  </si>
  <si>
    <t>not exceed</t>
  </si>
  <si>
    <t>of harvest of X2</t>
  </si>
  <si>
    <r>
      <t>l*</t>
    </r>
    <r>
      <rPr>
        <vertAlign val="subscript"/>
        <sz val="12"/>
        <rFont val="Helv"/>
        <family val="0"/>
      </rPr>
      <t>o</t>
    </r>
    <r>
      <rPr>
        <sz val="12"/>
        <rFont val="Helv"/>
        <family val="0"/>
      </rPr>
      <t xml:space="preserve"> =</t>
    </r>
  </si>
  <si>
    <t>Intrinsic growth rate</t>
  </si>
  <si>
    <t>Carrying capacity</t>
  </si>
  <si>
    <t>Discount rate</t>
  </si>
  <si>
    <t>Initial present worth factor</t>
  </si>
  <si>
    <t>Predation rate, Y2/Y1</t>
  </si>
  <si>
    <t>Predation rate, Y3/Y2</t>
  </si>
  <si>
    <t xml:space="preserve">              Grass</t>
  </si>
  <si>
    <t xml:space="preserve">         Herbivore</t>
  </si>
  <si>
    <t>b =</t>
  </si>
  <si>
    <t>a =</t>
  </si>
  <si>
    <r>
      <t xml:space="preserve">d </t>
    </r>
    <r>
      <rPr>
        <sz val="10"/>
        <rFont val="Helv"/>
        <family val="0"/>
      </rPr>
      <t>=</t>
    </r>
  </si>
  <si>
    <t>Predation rate constraints of X3 to X2</t>
  </si>
  <si>
    <r>
      <t xml:space="preserve">if the constraint is nonlinear in x or y.  If the constraint is linear, </t>
    </r>
    <r>
      <rPr>
        <sz val="12"/>
        <rFont val="Symbol"/>
        <family val="0"/>
      </rPr>
      <t>l</t>
    </r>
    <r>
      <rPr>
        <sz val="12"/>
        <rFont val="Helv"/>
        <family val="0"/>
      </rPr>
      <t xml:space="preserve"> may assume any sign.</t>
    </r>
  </si>
  <si>
    <t xml:space="preserve">     Consider the following maximization problem: </t>
  </si>
  <si>
    <t>x</t>
  </si>
  <si>
    <t>y</t>
  </si>
  <si>
    <t>y)</t>
  </si>
  <si>
    <t>y  )dt</t>
  </si>
  <si>
    <t>subject to:</t>
  </si>
  <si>
    <t>where J = the value of the functional to be optimized; y(t) = the control variable;</t>
  </si>
  <si>
    <t>programming.  If the solution does not involve an end point, condition a need not equal zerio in the first</t>
  </si>
  <si>
    <t>Basic biodiversity index is Conrad's.</t>
  </si>
  <si>
    <t>Alternatively, we can take the derivative of equation 15 to get:</t>
  </si>
  <si>
    <t>Predation rate constraints of X2 to X1</t>
  </si>
  <si>
    <r>
      <t>g3(</t>
    </r>
    <r>
      <rPr>
        <sz val="10"/>
        <rFont val="Helv"/>
        <family val="0"/>
      </rPr>
      <t>Y</t>
    </r>
    <r>
      <rPr>
        <sz val="10"/>
        <rFont val="Symbol"/>
        <family val="0"/>
      </rPr>
      <t>2</t>
    </r>
    <r>
      <rPr>
        <sz val="10"/>
        <rFont val="Helv"/>
        <family val="0"/>
      </rPr>
      <t>t</t>
    </r>
    <r>
      <rPr>
        <sz val="10"/>
        <rFont val="Symbol"/>
        <family val="0"/>
      </rPr>
      <t>)≤k24i</t>
    </r>
  </si>
  <si>
    <r>
      <t>g3(</t>
    </r>
    <r>
      <rPr>
        <sz val="10"/>
        <rFont val="Helv"/>
        <family val="0"/>
      </rPr>
      <t>X</t>
    </r>
    <r>
      <rPr>
        <sz val="10"/>
        <rFont val="Symbol"/>
        <family val="0"/>
      </rPr>
      <t>2</t>
    </r>
    <r>
      <rPr>
        <sz val="10"/>
        <rFont val="Helv"/>
        <family val="0"/>
      </rPr>
      <t>t</t>
    </r>
    <r>
      <rPr>
        <sz val="10"/>
        <rFont val="Symbol"/>
        <family val="0"/>
      </rPr>
      <t>)≤k24i</t>
    </r>
  </si>
  <si>
    <r>
      <t>g2(</t>
    </r>
    <r>
      <rPr>
        <sz val="10"/>
        <rFont val="Helv"/>
        <family val="0"/>
      </rPr>
      <t>Y</t>
    </r>
    <r>
      <rPr>
        <sz val="10"/>
        <rFont val="Symbol"/>
        <family val="0"/>
      </rPr>
      <t>1</t>
    </r>
    <r>
      <rPr>
        <sz val="10"/>
        <rFont val="Helv"/>
        <family val="0"/>
      </rPr>
      <t>t</t>
    </r>
    <r>
      <rPr>
        <sz val="10"/>
        <rFont val="Symbol"/>
        <family val="0"/>
      </rPr>
      <t>)≤</t>
    </r>
    <r>
      <rPr>
        <sz val="10"/>
        <rFont val="Helv"/>
        <family val="0"/>
      </rPr>
      <t>g</t>
    </r>
    <r>
      <rPr>
        <sz val="10"/>
        <rFont val="Symbol"/>
        <family val="0"/>
      </rPr>
      <t>24i</t>
    </r>
  </si>
  <si>
    <r>
      <t>g2(</t>
    </r>
    <r>
      <rPr>
        <sz val="10"/>
        <rFont val="Helv"/>
        <family val="0"/>
      </rPr>
      <t>X</t>
    </r>
    <r>
      <rPr>
        <sz val="10"/>
        <rFont val="Symbol"/>
        <family val="0"/>
      </rPr>
      <t>1</t>
    </r>
    <r>
      <rPr>
        <sz val="10"/>
        <rFont val="Helv"/>
        <family val="0"/>
      </rPr>
      <t>t</t>
    </r>
    <r>
      <rPr>
        <sz val="10"/>
        <rFont val="Symbol"/>
        <family val="0"/>
      </rPr>
      <t>)≤</t>
    </r>
    <r>
      <rPr>
        <sz val="10"/>
        <rFont val="Helv"/>
        <family val="0"/>
      </rPr>
      <t>g</t>
    </r>
    <r>
      <rPr>
        <sz val="10"/>
        <rFont val="Symbol"/>
        <family val="0"/>
      </rPr>
      <t>24i</t>
    </r>
  </si>
  <si>
    <t>X1</t>
  </si>
  <si>
    <t>X2</t>
  </si>
  <si>
    <t>X3</t>
  </si>
  <si>
    <t>Baseline Renewable Resource Production</t>
  </si>
  <si>
    <t>Biodiverse Optimal Renewable Resource Production</t>
  </si>
  <si>
    <t>IRB-1</t>
  </si>
  <si>
    <t>IRB-2</t>
  </si>
  <si>
    <t>In a continuous time framework, a free endpoint optimal control problem is defined as follows:</t>
  </si>
  <si>
    <t>Assuming an interior solution, the first two conditions for maximization,</t>
  </si>
  <si>
    <t xml:space="preserve">Consider the following production function: Yt = H(Xt, Et), where Y is the output, Xt is the fish stock, </t>
  </si>
  <si>
    <t>C.Var.</t>
  </si>
  <si>
    <t>PVNBt</t>
  </si>
  <si>
    <t>PVNB =</t>
  </si>
  <si>
    <t>Qt =</t>
  </si>
  <si>
    <t>Initial Residual Stock</t>
  </si>
  <si>
    <t>Optimal Residual Stock</t>
  </si>
  <si>
    <t>Initial Extraction</t>
  </si>
  <si>
    <t>Optimal Extraction</t>
  </si>
  <si>
    <t>discriminant is negative definite, i.e.,</t>
  </si>
  <si>
    <t xml:space="preserve">      C10 =C9+$B$3*C9*(1-C9/$B$4)-B9</t>
  </si>
  <si>
    <t>which simplifies to:</t>
  </si>
  <si>
    <r>
      <t>c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</si>
  <si>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t xml:space="preserve"> which is then substituted into the upper constant of integration:</t>
  </si>
  <si>
    <r>
      <t>c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</si>
  <si>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t>and Et is the effort.  Xt and Et are inputs.  Below are two common variants:</t>
  </si>
  <si>
    <t>herbivore</t>
  </si>
  <si>
    <r>
      <t xml:space="preserve">where </t>
    </r>
    <r>
      <rPr>
        <sz val="12"/>
        <rFont val="Symbol"/>
        <family val="0"/>
      </rPr>
      <t>l</t>
    </r>
    <r>
      <rPr>
        <sz val="12"/>
        <rFont val="Helv"/>
        <family val="0"/>
      </rPr>
      <t>(t) is the costate variable.  The</t>
    </r>
  </si>
  <si>
    <r>
      <t xml:space="preserve">solve for the state variables x(t) and the costate variable </t>
    </r>
    <r>
      <rPr>
        <sz val="12"/>
        <rFont val="Symbol"/>
        <family val="0"/>
      </rPr>
      <t xml:space="preserve"> l</t>
    </r>
    <r>
      <rPr>
        <sz val="12"/>
        <rFont val="Helv"/>
        <family val="0"/>
      </rPr>
      <t xml:space="preserve"> t.  We first integrate to find the costate variable</t>
    </r>
  </si>
  <si>
    <t>(The optimal solution is determined through use of Solver)</t>
  </si>
  <si>
    <t>of continuous time, a finite time horizon, and fixed endpoints, we write the problem as maximization</t>
  </si>
  <si>
    <t>of the following function:</t>
  </si>
  <si>
    <t>carrying capacity of grass</t>
  </si>
  <si>
    <t>intrinsic growth rate of grass</t>
  </si>
  <si>
    <t>herbivore rate of grass consumption</t>
  </si>
  <si>
    <t>intrinsic rate of growth of herbivore</t>
  </si>
  <si>
    <t>Grass consumed by cattle + herbivore must equal net growth</t>
  </si>
  <si>
    <t>Steady rate of predation must equal herbivore rate of net growth</t>
  </si>
  <si>
    <t xml:space="preserve">Steady-state predator population=herbivore population support </t>
  </si>
  <si>
    <t>Relative biodiversity, IRB, defined in Forest Logistical GrowthModel.xls</t>
  </si>
  <si>
    <t>predator to herbivore support ratio</t>
  </si>
  <si>
    <t>intrinsic rate of growth of carnivore</t>
  </si>
  <si>
    <t>predation rate per carnivore</t>
  </si>
  <si>
    <t>Assumption: Carnivore predates only on herbivores, not cattle.</t>
  </si>
  <si>
    <t>initial level of cattle</t>
  </si>
  <si>
    <t>herbivore grass consumption rate</t>
  </si>
  <si>
    <t>initial/solution value of grass biomass</t>
  </si>
  <si>
    <t>initial/solution value of grass growth</t>
  </si>
  <si>
    <t>cattle unit rate of grass consumption</t>
  </si>
  <si>
    <t>biomass of grass to herbivore ratio</t>
  </si>
  <si>
    <t>r1,t rand</t>
  </si>
  <si>
    <t>Scenario:</t>
  </si>
  <si>
    <t>Deterministic basic model pre- stationary solution</t>
  </si>
  <si>
    <t>X = K(1-(q/r)E) and Y = Y(E) = qKE(1-(q/r)E).</t>
  </si>
  <si>
    <t>E =</t>
  </si>
  <si>
    <t>q =</t>
  </si>
  <si>
    <t>F(X)</t>
  </si>
  <si>
    <t>Y(E)</t>
  </si>
  <si>
    <t>The last condition, c, is called the transversality conditon for a free endpoint.  The rationale for the transversality</t>
  </si>
  <si>
    <r>
      <t>x*(T) may be chosen freely as long as it does not violate the value set by the constraint 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.  If x*(T)&gt;x</t>
    </r>
    <r>
      <rPr>
        <vertAlign val="subscript"/>
        <sz val="18"/>
        <rFont val="Helv"/>
        <family val="0"/>
      </rPr>
      <t>min</t>
    </r>
    <r>
      <rPr>
        <sz val="12"/>
        <rFont val="Helv"/>
        <family val="0"/>
      </rPr>
      <t>,</t>
    </r>
  </si>
  <si>
    <t xml:space="preserve">X   </t>
  </si>
  <si>
    <t>E</t>
  </si>
  <si>
    <t>Net Growth Function</t>
  </si>
  <si>
    <t>Yield Effort Function</t>
  </si>
  <si>
    <t xml:space="preserve">    The Static Model of Open Access</t>
  </si>
  <si>
    <t>C = cE</t>
  </si>
  <si>
    <t>c =</t>
  </si>
  <si>
    <t>p =</t>
  </si>
  <si>
    <t>R = pY(E)</t>
  </si>
  <si>
    <t>Example of an Optimal Control Problem with an Inequality Constraint</t>
  </si>
  <si>
    <t>The predation rate of the predator to the herbivore</t>
  </si>
  <si>
    <t>determines the constraint of the optimal value on</t>
  </si>
  <si>
    <t>the carnivore.  In turn, the predation rate of the</t>
  </si>
  <si>
    <t>herbivore to grass determines the constraint of the</t>
  </si>
  <si>
    <t>optimal value on the herbivore.</t>
  </si>
  <si>
    <t>Y(2t) harvest can</t>
  </si>
  <si>
    <t xml:space="preserve">not exceed </t>
  </si>
  <si>
    <t xml:space="preserve">predation rate </t>
  </si>
  <si>
    <t>of harvest of X1</t>
  </si>
  <si>
    <t>Y(3t) harvest can</t>
  </si>
  <si>
    <t>initial/solution values for herbivore</t>
  </si>
  <si>
    <t>initial/solution values for carnivore</t>
  </si>
  <si>
    <t>Resource X1</t>
  </si>
  <si>
    <t>Reset Initialization:</t>
  </si>
  <si>
    <t xml:space="preserve">K= </t>
  </si>
  <si>
    <t>(Modified from Conrad, 1999, pp. 170-172)</t>
  </si>
  <si>
    <t xml:space="preserve">       Resource X1</t>
  </si>
  <si>
    <t xml:space="preserve">       Resource X2</t>
  </si>
  <si>
    <t xml:space="preserve">       Resource X3</t>
  </si>
  <si>
    <t>Resource X2</t>
  </si>
  <si>
    <t>Resource X3</t>
  </si>
  <si>
    <t>g =</t>
  </si>
  <si>
    <t>predation rate</t>
  </si>
  <si>
    <t xml:space="preserve"> results in</t>
  </si>
  <si>
    <t>t        +</t>
  </si>
  <si>
    <r>
      <t>c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t   + c</t>
    </r>
    <r>
      <rPr>
        <vertAlign val="subscript"/>
        <sz val="18"/>
        <rFont val="Helv"/>
        <family val="0"/>
      </rPr>
      <t>2</t>
    </r>
  </si>
  <si>
    <t>We now solve for the constraints of integration by applying the constants of integration from equation 4:</t>
  </si>
  <si>
    <t>+</t>
  </si>
  <si>
    <t>Baseline Case</t>
  </si>
  <si>
    <t>Independent Dynamic Maximization</t>
  </si>
  <si>
    <t>Shadow Prices</t>
  </si>
  <si>
    <t>Present Value</t>
  </si>
  <si>
    <t>IRB</t>
  </si>
  <si>
    <t>Case:</t>
  </si>
  <si>
    <t>Interdependent</t>
  </si>
  <si>
    <t>Base</t>
  </si>
  <si>
    <t xml:space="preserve">     Renewable natural resources represent an important element in any framework of sustainable</t>
  </si>
  <si>
    <r>
      <t>l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 xml:space="preserve"> =</t>
    </r>
  </si>
  <si>
    <t>the shadow price of the resource</t>
  </si>
  <si>
    <r>
      <t>l</t>
    </r>
    <r>
      <rPr>
        <vertAlign val="subscript"/>
        <sz val="12"/>
        <rFont val="Symbol"/>
        <family val="0"/>
      </rPr>
      <t>1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 xml:space="preserve"> =</t>
    </r>
  </si>
  <si>
    <t xml:space="preserve">Original problem is normalized wrt: </t>
  </si>
  <si>
    <t xml:space="preserve"> 1. Reserves=1; 2. Price=1; 3. ET=0</t>
  </si>
  <si>
    <t xml:space="preserve"> = Residual Reserves</t>
  </si>
  <si>
    <r>
      <t>l</t>
    </r>
    <r>
      <rPr>
        <vertAlign val="subscript"/>
        <sz val="10"/>
        <rFont val="Helv"/>
        <family val="0"/>
      </rPr>
      <t>0</t>
    </r>
    <r>
      <rPr>
        <sz val="10"/>
        <rFont val="Helv"/>
        <family val="0"/>
      </rPr>
      <t xml:space="preserve">  = Shadow price in t</t>
    </r>
    <r>
      <rPr>
        <vertAlign val="subscript"/>
        <sz val="10"/>
        <rFont val="Helv"/>
        <family val="0"/>
      </rPr>
      <t>o</t>
    </r>
  </si>
  <si>
    <r>
      <t>l</t>
    </r>
    <r>
      <rPr>
        <vertAlign val="subscript"/>
        <sz val="12"/>
        <rFont val="Helv"/>
        <family val="0"/>
      </rPr>
      <t xml:space="preserve">10 </t>
    </r>
    <r>
      <rPr>
        <sz val="12"/>
        <rFont val="Helv"/>
        <family val="0"/>
      </rPr>
      <t xml:space="preserve">= </t>
    </r>
    <r>
      <rPr>
        <sz val="10"/>
        <rFont val="Helv"/>
        <family val="0"/>
      </rPr>
      <t>Shadow price in t</t>
    </r>
    <r>
      <rPr>
        <vertAlign val="subscript"/>
        <sz val="10"/>
        <rFont val="Helv"/>
        <family val="0"/>
      </rPr>
      <t>10</t>
    </r>
  </si>
  <si>
    <t>Optimal Harvest of a Renewable Resource</t>
  </si>
  <si>
    <t>a=</t>
  </si>
  <si>
    <t>b=</t>
  </si>
  <si>
    <t>r=</t>
  </si>
  <si>
    <t>K=</t>
  </si>
  <si>
    <r>
      <t>d</t>
    </r>
    <r>
      <rPr>
        <sz val="12"/>
        <rFont val="Helv"/>
        <family val="0"/>
      </rPr>
      <t>=</t>
    </r>
  </si>
  <si>
    <r>
      <t>r</t>
    </r>
    <r>
      <rPr>
        <sz val="12"/>
        <rFont val="Helv"/>
        <family val="0"/>
      </rPr>
      <t>=</t>
    </r>
  </si>
  <si>
    <t>Yt</t>
  </si>
  <si>
    <t>Xt</t>
  </si>
  <si>
    <t>Optimal Control with a Free Endpoint</t>
  </si>
  <si>
    <t>©2008, 2004</t>
  </si>
  <si>
    <t>P. LeBel</t>
  </si>
  <si>
    <t>t     +</t>
  </si>
  <si>
    <r>
      <t>c</t>
    </r>
    <r>
      <rPr>
        <vertAlign val="subscript"/>
        <sz val="18"/>
        <rFont val="Helv"/>
        <family val="0"/>
      </rPr>
      <t>1</t>
    </r>
  </si>
  <si>
    <t>the constraint is nonbinding and the problem reduces to a fee endpoint problem.  Thus,</t>
  </si>
  <si>
    <t>condition but H must still be maximized with respect to y.  Generally, we assume interior solutions.</t>
  </si>
  <si>
    <r>
      <t>t   + c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>) =</t>
    </r>
  </si>
  <si>
    <t>Sufficiency Conditions for Maximization of Optimal Control Problems</t>
  </si>
  <si>
    <t>The Framework of Optimal Control Problems</t>
  </si>
  <si>
    <t>A.</t>
  </si>
  <si>
    <t>With both discriminants negative semidefinite, the objective functional f is jointly concave in x and y.  The</t>
  </si>
  <si>
    <t>constraint is linear and needs no testing.  The functional is maximized.</t>
  </si>
  <si>
    <r>
      <t>a</t>
    </r>
    <r>
      <rPr>
        <sz val="10"/>
        <rFont val="Helv"/>
        <family val="0"/>
      </rPr>
      <t>1 =</t>
    </r>
  </si>
  <si>
    <r>
      <t>a</t>
    </r>
    <r>
      <rPr>
        <sz val="10"/>
        <rFont val="Helv"/>
        <family val="0"/>
      </rPr>
      <t>2 =</t>
    </r>
  </si>
  <si>
    <t>C =</t>
  </si>
  <si>
    <t>r3 =</t>
  </si>
  <si>
    <t>X1 =</t>
  </si>
  <si>
    <t>G(X1) = 0</t>
  </si>
  <si>
    <t>X2 =</t>
  </si>
  <si>
    <t>X3 =</t>
  </si>
  <si>
    <t>r1,t</t>
  </si>
  <si>
    <t>X1,t</t>
  </si>
  <si>
    <t>X2,t</t>
  </si>
  <si>
    <t>X3,t</t>
  </si>
  <si>
    <t>Bt</t>
  </si>
  <si>
    <r>
      <t>g</t>
    </r>
    <r>
      <rPr>
        <sz val="10"/>
        <rFont val="Helv"/>
        <family val="0"/>
      </rPr>
      <t xml:space="preserve"> =</t>
    </r>
  </si>
  <si>
    <r>
      <t>b</t>
    </r>
    <r>
      <rPr>
        <sz val="10"/>
        <rFont val="Helv"/>
        <family val="0"/>
      </rPr>
      <t xml:space="preserve"> =</t>
    </r>
  </si>
  <si>
    <r>
      <t>h</t>
    </r>
    <r>
      <rPr>
        <sz val="10"/>
        <rFont val="Helv"/>
        <family val="0"/>
      </rPr>
      <t xml:space="preserve"> =</t>
    </r>
  </si>
  <si>
    <t>(Conrad, 1999, pp.174-178)</t>
  </si>
  <si>
    <t>the initial stock, and the underlying interaction between growth and the carrying capacity (K).</t>
  </si>
  <si>
    <t>Fishery Net Natural Growth Rate Functions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</si>
</sst>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.00"/>
    <numFmt numFmtId="166" formatCode="\ \ 0"/>
    <numFmt numFmtId="167" formatCode="\(0\)\ \="/>
    <numFmt numFmtId="168" formatCode="\(0.00\)"/>
    <numFmt numFmtId="169" formatCode="0.00\ \(\c\1\)"/>
    <numFmt numFmtId="170" formatCode="\(0.00\)\ \ \+"/>
    <numFmt numFmtId="171" formatCode="0.00\ \ \="/>
    <numFmt numFmtId="172" formatCode="0.00\)\ \ \="/>
    <numFmt numFmtId="173" formatCode="\(0.00\ "/>
    <numFmt numFmtId="174" formatCode="0.00\)"/>
    <numFmt numFmtId="175" formatCode="0.00\t"/>
    <numFmt numFmtId="176" formatCode="\+\ 0.00"/>
    <numFmt numFmtId="177" formatCode="\(0.00\)\t"/>
    <numFmt numFmtId="178" formatCode="\=\ 0.00"/>
    <numFmt numFmtId="179" formatCode="\(\-0.00"/>
    <numFmt numFmtId="180" formatCode="\(0\)\ \≥"/>
    <numFmt numFmtId="181" formatCode="0.00000"/>
    <numFmt numFmtId="182" formatCode="0.0000"/>
    <numFmt numFmtId="183" formatCode="0.000"/>
    <numFmt numFmtId="184" formatCode="0.000000"/>
    <numFmt numFmtId="185" formatCode="&quot;$&quot;#,##0.00"/>
    <numFmt numFmtId="186" formatCode="&quot;$&quot;#,##0.0000"/>
    <numFmt numFmtId="187" formatCode="0.000000000000000"/>
    <numFmt numFmtId="188" formatCode="#,##0.000"/>
    <numFmt numFmtId="189" formatCode="0.00000000"/>
    <numFmt numFmtId="190" formatCode="0.000000000"/>
    <numFmt numFmtId="191" formatCode="#,##0.0000"/>
  </numFmts>
  <fonts count="4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vertAlign val="subscript"/>
      <sz val="18"/>
      <name val="Helv"/>
      <family val="0"/>
    </font>
    <font>
      <sz val="10"/>
      <name val="Helv"/>
      <family val="0"/>
    </font>
    <font>
      <sz val="12"/>
      <name val="Symbol"/>
      <family val="0"/>
    </font>
    <font>
      <sz val="8"/>
      <name val="Helv"/>
      <family val="0"/>
    </font>
    <font>
      <b/>
      <sz val="9.5"/>
      <color indexed="12"/>
      <name val="Helv"/>
      <family val="0"/>
    </font>
    <font>
      <sz val="8.5"/>
      <name val="Helv"/>
      <family val="0"/>
    </font>
    <font>
      <b/>
      <sz val="9.25"/>
      <color indexed="12"/>
      <name val="Helv"/>
      <family val="0"/>
    </font>
    <font>
      <sz val="8.25"/>
      <name val="Helv"/>
      <family val="0"/>
    </font>
    <font>
      <sz val="4.5"/>
      <name val="Helv"/>
      <family val="0"/>
    </font>
    <font>
      <sz val="4"/>
      <name val="Helv"/>
      <family val="0"/>
    </font>
    <font>
      <vertAlign val="subscript"/>
      <sz val="12"/>
      <name val="Helv"/>
      <family val="0"/>
    </font>
    <font>
      <sz val="9.25"/>
      <name val="Helv"/>
      <family val="0"/>
    </font>
    <font>
      <sz val="9.75"/>
      <name val="Helv"/>
      <family val="0"/>
    </font>
    <font>
      <sz val="9.5"/>
      <name val="Helv"/>
      <family val="0"/>
    </font>
    <font>
      <b/>
      <sz val="10"/>
      <name val="Helv"/>
      <family val="0"/>
    </font>
    <font>
      <vertAlign val="superscript"/>
      <sz val="18"/>
      <name val="Helv"/>
      <family val="0"/>
    </font>
    <font>
      <sz val="8.75"/>
      <name val="Helv"/>
      <family val="0"/>
    </font>
    <font>
      <b/>
      <sz val="9"/>
      <color indexed="12"/>
      <name val="Helv"/>
      <family val="0"/>
    </font>
    <font>
      <b/>
      <sz val="10"/>
      <color indexed="12"/>
      <name val="Helv"/>
      <family val="0"/>
    </font>
    <font>
      <b/>
      <sz val="9.75"/>
      <color indexed="12"/>
      <name val="Helv"/>
      <family val="0"/>
    </font>
    <font>
      <b/>
      <sz val="8.75"/>
      <name val="Helv"/>
      <family val="0"/>
    </font>
    <font>
      <b/>
      <sz val="11.75"/>
      <color indexed="12"/>
      <name val="Helv"/>
      <family val="0"/>
    </font>
    <font>
      <b/>
      <sz val="8.5"/>
      <name val="Helv"/>
      <family val="0"/>
    </font>
    <font>
      <b/>
      <sz val="8.75"/>
      <color indexed="12"/>
      <name val="Helv"/>
      <family val="0"/>
    </font>
    <font>
      <sz val="4.25"/>
      <name val="Helv"/>
      <family val="0"/>
    </font>
    <font>
      <sz val="5.25"/>
      <name val="Helv"/>
      <family val="0"/>
    </font>
    <font>
      <sz val="5"/>
      <name val="Helv"/>
      <family val="0"/>
    </font>
    <font>
      <sz val="14"/>
      <name val="Symbol"/>
      <family val="0"/>
    </font>
    <font>
      <vertAlign val="subscript"/>
      <sz val="12"/>
      <name val="Symbol"/>
      <family val="0"/>
    </font>
    <font>
      <vertAlign val="subscript"/>
      <sz val="10"/>
      <name val="Helv"/>
      <family val="0"/>
    </font>
    <font>
      <sz val="10"/>
      <name val="Symbol"/>
      <family val="0"/>
    </font>
    <font>
      <vertAlign val="superscript"/>
      <sz val="10"/>
      <name val="Helv"/>
      <family val="0"/>
    </font>
    <font>
      <b/>
      <sz val="8.5"/>
      <color indexed="12"/>
      <name val="Helv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6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 horizontal="right"/>
    </xf>
    <xf numFmtId="167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right"/>
    </xf>
    <xf numFmtId="167" fontId="4" fillId="0" borderId="9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 horizontal="right"/>
    </xf>
    <xf numFmtId="165" fontId="4" fillId="0" borderId="9" xfId="0" applyNumberFormat="1" applyFont="1" applyBorder="1" applyAlignment="1">
      <alignment/>
    </xf>
    <xf numFmtId="165" fontId="4" fillId="0" borderId="9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2" fontId="4" fillId="0" borderId="9" xfId="0" applyNumberFormat="1" applyFont="1" applyBorder="1" applyAlignment="1">
      <alignment/>
    </xf>
    <xf numFmtId="166" fontId="8" fillId="0" borderId="5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left"/>
    </xf>
    <xf numFmtId="166" fontId="8" fillId="0" borderId="5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8" fontId="4" fillId="0" borderId="9" xfId="0" applyNumberFormat="1" applyFont="1" applyBorder="1" applyAlignment="1">
      <alignment horizontal="left"/>
    </xf>
    <xf numFmtId="169" fontId="4" fillId="0" borderId="9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0" fontId="4" fillId="0" borderId="9" xfId="0" applyNumberFormat="1" applyFont="1" applyBorder="1" applyAlignment="1">
      <alignment horizontal="left"/>
    </xf>
    <xf numFmtId="171" fontId="4" fillId="0" borderId="9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172" fontId="4" fillId="0" borderId="13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175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77" fontId="4" fillId="0" borderId="9" xfId="0" applyNumberFormat="1" applyFont="1" applyBorder="1" applyAlignment="1">
      <alignment horizontal="left"/>
    </xf>
    <xf numFmtId="177" fontId="4" fillId="0" borderId="9" xfId="0" applyNumberFormat="1" applyFont="1" applyBorder="1" applyAlignment="1">
      <alignment/>
    </xf>
    <xf numFmtId="167" fontId="4" fillId="0" borderId="0" xfId="0" applyNumberFormat="1" applyFont="1" applyAlignment="1">
      <alignment horizontal="left"/>
    </xf>
    <xf numFmtId="168" fontId="4" fillId="0" borderId="9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left"/>
    </xf>
    <xf numFmtId="175" fontId="4" fillId="0" borderId="9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4" fontId="4" fillId="0" borderId="14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165" fontId="9" fillId="0" borderId="5" xfId="0" applyNumberFormat="1" applyFont="1" applyBorder="1" applyAlignment="1">
      <alignment horizontal="left"/>
    </xf>
    <xf numFmtId="180" fontId="4" fillId="0" borderId="9" xfId="0" applyNumberFormat="1" applyFont="1" applyBorder="1" applyAlignment="1">
      <alignment horizontal="left"/>
    </xf>
    <xf numFmtId="166" fontId="8" fillId="0" borderId="6" xfId="0" applyNumberFormat="1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82" fontId="4" fillId="0" borderId="14" xfId="0" applyNumberFormat="1" applyFont="1" applyBorder="1" applyAlignment="1">
      <alignment/>
    </xf>
    <xf numFmtId="182" fontId="4" fillId="0" borderId="15" xfId="0" applyNumberFormat="1" applyFont="1" applyBorder="1" applyAlignment="1">
      <alignment horizontal="center"/>
    </xf>
    <xf numFmtId="182" fontId="4" fillId="0" borderId="0" xfId="0" applyNumberFormat="1" applyFont="1" applyAlignment="1">
      <alignment/>
    </xf>
    <xf numFmtId="182" fontId="4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5" xfId="0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183" fontId="6" fillId="0" borderId="2" xfId="0" applyNumberFormat="1" applyFont="1" applyBorder="1" applyAlignment="1">
      <alignment horizontal="center"/>
    </xf>
    <xf numFmtId="183" fontId="6" fillId="0" borderId="1" xfId="0" applyNumberFormat="1" applyFont="1" applyBorder="1" applyAlignment="1">
      <alignment horizontal="center"/>
    </xf>
    <xf numFmtId="183" fontId="6" fillId="0" borderId="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83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3" fontId="8" fillId="0" borderId="21" xfId="0" applyNumberFormat="1" applyFont="1" applyBorder="1" applyAlignment="1">
      <alignment horizontal="center"/>
    </xf>
    <xf numFmtId="183" fontId="8" fillId="0" borderId="22" xfId="0" applyNumberFormat="1" applyFont="1" applyBorder="1" applyAlignment="1">
      <alignment horizontal="center"/>
    </xf>
    <xf numFmtId="183" fontId="8" fillId="0" borderId="23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183" fontId="4" fillId="0" borderId="12" xfId="0" applyNumberFormat="1" applyFont="1" applyBorder="1" applyAlignment="1">
      <alignment horizontal="left"/>
    </xf>
    <xf numFmtId="183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83" fontId="4" fillId="0" borderId="13" xfId="0" applyNumberFormat="1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183" fontId="4" fillId="0" borderId="6" xfId="0" applyNumberFormat="1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34" fillId="0" borderId="24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34" fillId="0" borderId="26" xfId="0" applyFont="1" applyBorder="1" applyAlignment="1">
      <alignment horizontal="right"/>
    </xf>
    <xf numFmtId="185" fontId="4" fillId="0" borderId="25" xfId="0" applyNumberFormat="1" applyFont="1" applyBorder="1" applyAlignment="1">
      <alignment horizontal="center"/>
    </xf>
    <xf numFmtId="185" fontId="4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82" fontId="8" fillId="0" borderId="2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18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82" fontId="8" fillId="0" borderId="20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82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/>
    </xf>
    <xf numFmtId="182" fontId="8" fillId="0" borderId="10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2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182" fontId="8" fillId="0" borderId="12" xfId="0" applyNumberFormat="1" applyFont="1" applyBorder="1" applyAlignment="1">
      <alignment horizontal="center"/>
    </xf>
    <xf numFmtId="0" fontId="37" fillId="0" borderId="13" xfId="0" applyFont="1" applyBorder="1" applyAlignment="1">
      <alignment/>
    </xf>
    <xf numFmtId="0" fontId="9" fillId="0" borderId="13" xfId="0" applyFont="1" applyBorder="1" applyAlignment="1">
      <alignment/>
    </xf>
    <xf numFmtId="182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190" fontId="8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82" fontId="8" fillId="0" borderId="15" xfId="0" applyNumberFormat="1" applyFont="1" applyBorder="1" applyAlignment="1">
      <alignment/>
    </xf>
    <xf numFmtId="182" fontId="8" fillId="0" borderId="21" xfId="0" applyNumberFormat="1" applyFont="1" applyBorder="1" applyAlignment="1">
      <alignment/>
    </xf>
    <xf numFmtId="182" fontId="8" fillId="0" borderId="22" xfId="0" applyNumberFormat="1" applyFont="1" applyBorder="1" applyAlignment="1">
      <alignment/>
    </xf>
    <xf numFmtId="0" fontId="8" fillId="0" borderId="0" xfId="0" applyFont="1" applyAlignment="1">
      <alignment horizontal="left"/>
    </xf>
    <xf numFmtId="188" fontId="8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182" fontId="8" fillId="0" borderId="21" xfId="0" applyNumberFormat="1" applyFont="1" applyBorder="1" applyAlignment="1">
      <alignment horizontal="center"/>
    </xf>
    <xf numFmtId="182" fontId="8" fillId="0" borderId="22" xfId="0" applyNumberFormat="1" applyFont="1" applyBorder="1" applyAlignment="1">
      <alignment horizontal="center"/>
    </xf>
    <xf numFmtId="182" fontId="8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191" fontId="8" fillId="0" borderId="15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/>
    </xf>
    <xf numFmtId="190" fontId="21" fillId="0" borderId="27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181" fontId="8" fillId="0" borderId="14" xfId="0" applyNumberFormat="1" applyFont="1" applyBorder="1" applyAlignment="1">
      <alignment/>
    </xf>
    <xf numFmtId="190" fontId="0" fillId="0" borderId="0" xfId="0" applyNumberFormat="1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5" fillId="0" borderId="6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41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2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2" fontId="8" fillId="0" borderId="14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/>
    </xf>
    <xf numFmtId="0" fontId="21" fillId="0" borderId="7" xfId="0" applyFont="1" applyBorder="1" applyAlignment="1">
      <alignment/>
    </xf>
    <xf numFmtId="0" fontId="41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40" fillId="0" borderId="7" xfId="0" applyFont="1" applyBorder="1" applyAlignment="1">
      <alignment horizontal="left"/>
    </xf>
    <xf numFmtId="0" fontId="25" fillId="0" borderId="4" xfId="0" applyFont="1" applyBorder="1" applyAlignment="1">
      <alignment/>
    </xf>
    <xf numFmtId="0" fontId="40" fillId="0" borderId="7" xfId="0" applyFont="1" applyBorder="1" applyAlignment="1">
      <alignment/>
    </xf>
    <xf numFmtId="182" fontId="8" fillId="0" borderId="14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37" fillId="0" borderId="4" xfId="0" applyFont="1" applyBorder="1" applyAlignment="1">
      <alignment horizontal="left" vertical="center"/>
    </xf>
    <xf numFmtId="0" fontId="4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37" fillId="0" borderId="15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182" fontId="8" fillId="0" borderId="15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Stocks 
of an Exhaustible Resource</a:t>
            </a:r>
          </a:p>
        </c:rich>
      </c:tx>
      <c:layout>
        <c:manualLayout>
          <c:xMode val="factor"/>
          <c:yMode val="factor"/>
          <c:x val="0.0055"/>
          <c:y val="-0.005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7"/>
          <c:y val="0.18675"/>
          <c:w val="0.9442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Sheet1!$G$193</c:f>
              <c:strCache>
                <c:ptCount val="1"/>
                <c:pt idx="0">
                  <c:v>Initial Residual Stock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Sheet1!$A$194:$A$204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Sheet1!$G$194:$G$204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Sheet1!$H$193</c:f>
              <c:strCache>
                <c:ptCount val="1"/>
                <c:pt idx="0">
                  <c:v>Optimal Residual Stock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Sheet1!$A$194:$A$204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Sheet1!$H$194:$H$204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768816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881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Rent Maximizing Level of Effort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9"/>
          <c:w val="0.9757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Sheet1!$F$16</c:f>
              <c:strCache>
                <c:ptCount val="1"/>
                <c:pt idx="0">
                  <c:v>R = pY(E)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Sheet1!$D$17:$D$117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Sheet1!$F$17:$F$117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C = 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Sheet1!$D$17:$D$117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Sheet1!$G$17:$G$117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975"/>
          <c:y val="0.879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Net Natural Growth Rate Functions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4525"/>
          <c:y val="0.121"/>
          <c:w val="0.9"/>
          <c:h val="0.7982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Sheet1!$C$231</c:f>
              <c:strCache>
                <c:ptCount val="1"/>
                <c:pt idx="0">
                  <c:v>A.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Sheet1!$C$232:$C$332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Sheet1!$D$231</c:f>
              <c:strCache>
                <c:ptCount val="1"/>
                <c:pt idx="0">
                  <c:v>B.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Sheet1!$D$232:$D$332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Sheet1!$E$231</c:f>
              <c:strCache>
                <c:ptCount val="1"/>
                <c:pt idx="0">
                  <c:v>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Sheet1!$E$232:$E$332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Sheet1!$F$231</c:f>
              <c:strCache>
                <c:ptCount val="1"/>
                <c:pt idx="0">
                  <c:v>D.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Sheet1!$F$232:$F$332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20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Net Natural Growth Rate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1215"/>
          <c:y val="0.16475"/>
          <c:w val="0.81475"/>
          <c:h val="0.673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Sheet1!$C$231</c:f>
              <c:strCache>
                <c:ptCount val="1"/>
                <c:pt idx="0">
                  <c:v>A.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Sheet1!$B$232:$B$349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cat>
          <c:val>
            <c:numRef>
              <c:f>Sheet1!$C$232:$C$349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Sheet1!$B$232:$B$349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cat>
          <c:val>
            <c:numRef>
              <c:f>Sheet1!$N$331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Helv"/>
                <a:ea typeface="Helv"/>
                <a:cs typeface="Helv"/>
              </a:defRPr>
            </a:pPr>
          </a:p>
        </c:txPr>
        <c:crossAx val="15594768"/>
        <c:crossesAt val="1"/>
        <c:crossBetween val="between"/>
        <c:dispUnits/>
      </c:valAx>
      <c:spPr>
        <a:ln w="25400">
          <a:solid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Optimal Harvest Rate of a Renewable Resource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35"/>
          <c:w val="0.9902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Sheet3!$E$8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Sheet3!$E$9:$E$19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Sheet3!$F$8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Sheet3!$F$9:$F$19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521666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175"/>
          <c:y val="0.909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Optimal Production Rate of a Renewable Resource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775"/>
          <c:w val="0.98525"/>
          <c:h val="0.70375"/>
        </c:manualLayout>
      </c:layout>
      <c:lineChart>
        <c:grouping val="standard"/>
        <c:varyColors val="0"/>
        <c:ser>
          <c:idx val="1"/>
          <c:order val="0"/>
          <c:tx>
            <c:strRef>
              <c:f>Sheet3!$I$8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Sheet3!$I$9:$I$19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Sheet3!$H$8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Sheet3!$H$9:$H$19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336493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00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Initial and Optimal PVNB Solutions</a:t>
            </a:r>
          </a:p>
        </c:rich>
      </c:tx>
      <c:layout>
        <c:manualLayout>
          <c:xMode val="factor"/>
          <c:yMode val="factor"/>
          <c:x val="0.01675"/>
          <c:y val="-0.00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75"/>
          <c:y val="0.11225"/>
          <c:w val="0.96625"/>
          <c:h val="0.7705"/>
        </c:manualLayout>
      </c:layout>
      <c:lineChart>
        <c:grouping val="standard"/>
        <c:varyColors val="0"/>
        <c:ser>
          <c:idx val="1"/>
          <c:order val="0"/>
          <c:tx>
            <c:strRef>
              <c:f>Sheet4!$G$13</c:f>
              <c:strCache>
                <c:ptCount val="1"/>
                <c:pt idx="0">
                  <c:v>PVNB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Sheet4!$F$14:$F$24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Sheet4!$G$14:$G$24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Sheet4!$H$13</c:f>
              <c:strCache>
                <c:ptCount val="1"/>
                <c:pt idx="0">
                  <c:v>PVNB-0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Sheet4!$F$14:$F$24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Sheet4!$H$14:$H$24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289857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Dynamics of Grass: X1, 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975"/>
          <c:w val="0.983"/>
          <c:h val="0.76375"/>
        </c:manualLayout>
      </c:layout>
      <c:lineChart>
        <c:grouping val="standard"/>
        <c:varyColors val="0"/>
        <c:ser>
          <c:idx val="0"/>
          <c:order val="0"/>
          <c:tx>
            <c:v>X1,t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Sheet5!$D$2:$D$43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Sheet5!$F$2:$F$43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284517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Dynamics of Herbivore: X2,t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95"/>
          <c:w val="0.97475"/>
          <c:h val="0.764"/>
        </c:manualLayout>
      </c:layout>
      <c:lineChart>
        <c:grouping val="standard"/>
        <c:varyColors val="0"/>
        <c:ser>
          <c:idx val="0"/>
          <c:order val="0"/>
          <c:tx>
            <c:v>X2,t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Sheet5!$D$2:$D$43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Sheet5!$G$2:$G$43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790720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Dynamics of Carnivore: X3,t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25"/>
          <c:y val="0.17725"/>
          <c:w val="0.96025"/>
          <c:h val="0.7915"/>
        </c:manualLayout>
      </c:layout>
      <c:lineChart>
        <c:grouping val="standard"/>
        <c:varyColors val="0"/>
        <c:ser>
          <c:idx val="0"/>
          <c:order val="0"/>
          <c:tx>
            <c:v>X3,t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Sheet5!$D$2:$D$43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Sheet5!$H$2:$H$43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7741069"/>
        <c:crosses val="autoZero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527812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Relative Biodiversity Index IRBt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25"/>
          <c:y val="0.16425"/>
          <c:w val="0.9655"/>
          <c:h val="0.7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Sheet5!$D$2:$D$43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Sheet5!$I$2:$I$43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48343030"/>
        <c:axId val="32434087"/>
      </c:line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834303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Extraction Rates of an Exhaustible Resource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2095"/>
          <c:w val="0.941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Sheet1!$E$193</c:f>
              <c:strCache>
                <c:ptCount val="1"/>
                <c:pt idx="0">
                  <c:v>Initial Extraction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Sheet1!$E$194:$E$204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Sheet1!$F$193</c:f>
              <c:strCache>
                <c:ptCount val="1"/>
                <c:pt idx="0">
                  <c:v>Optimal Extraction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Sheet1!$F$194:$F$204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876135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899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BasicBiodiversity Index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325"/>
          <c:w val="0.98275"/>
          <c:h val="0.76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Sheet5!$J$2:$J$43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23471328"/>
        <c:axId val="9915361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347132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Harvest Levels of X1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77"/>
          <c:w val="0.987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Sheet6!$B$132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Sheet6!$B$133:$B$142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Sheet6!$C$132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Sheet6!$C$133:$C$142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212938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"/>
          <c:y val="0.87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Production Levels of X1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375"/>
          <c:w val="0.9882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Sheet6!$D$132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Sheet6!$D$133:$D$143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Sheet6!$E$132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Sheet6!$E$133:$E$143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6195125"/>
        <c:crosses val="autoZero"/>
        <c:auto val="1"/>
        <c:lblOffset val="100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764981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872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Biodiverse Optimal Production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15"/>
          <c:y val="0.116"/>
          <c:w val="0.9935"/>
          <c:h val="0.84675"/>
        </c:manualLayout>
      </c:layout>
      <c:areaChart>
        <c:grouping val="stacked"/>
        <c:varyColors val="0"/>
        <c:ser>
          <c:idx val="0"/>
          <c:order val="0"/>
          <c:tx>
            <c:strRef>
              <c:f>Sheet6!$I$146</c:f>
              <c:strCache>
                <c:ptCount val="1"/>
                <c:pt idx="0">
                  <c:v>X1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Sheet6!$I$147:$I$157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Sheet6!$J$146</c:f>
              <c:strCache>
                <c:ptCount val="1"/>
                <c:pt idx="0">
                  <c:v>X2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Sheet6!$J$147:$J$157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Sheet6!$K$146</c:f>
              <c:strCache>
                <c:ptCount val="1"/>
                <c:pt idx="0">
                  <c:v>X3</c:v>
                </c:pt>
              </c:strCache>
            </c:strRef>
          </c:tx>
          <c:spPr>
            <a:pattFill prst="pct60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Sheet6!$K$147:$K$157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429534"/>
        <c:axId val="41430351"/>
      </c:area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1430351"/>
        <c:crosses val="autoZero"/>
        <c:auto val="1"/>
        <c:lblOffset val="100"/>
        <c:noMultiLvlLbl val="0"/>
      </c:catAx>
      <c:valAx>
        <c:axId val="41430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442953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75"/>
          <c:y val="0.91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Biodiverse Baseline Production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0965"/>
          <c:w val="0.995"/>
          <c:h val="0.85225"/>
        </c:manualLayout>
      </c:layout>
      <c:areaChart>
        <c:grouping val="stacked"/>
        <c:varyColors val="0"/>
        <c:ser>
          <c:idx val="0"/>
          <c:order val="0"/>
          <c:tx>
            <c:strRef>
              <c:f>Sheet6!$B$146</c:f>
              <c:strCache>
                <c:ptCount val="1"/>
                <c:pt idx="0">
                  <c:v>X1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Sheet6!$B$147:$B$157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Sheet6!$C$146</c:f>
              <c:strCache>
                <c:ptCount val="1"/>
                <c:pt idx="0">
                  <c:v>X2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Sheet6!$C$147:$C$157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Sheet6!$D$146</c:f>
              <c:strCache>
                <c:ptCount val="1"/>
                <c:pt idx="0">
                  <c:v>X3</c:v>
                </c:pt>
              </c:strCache>
            </c:strRef>
          </c:tx>
          <c:spPr>
            <a:pattFill prst="pct60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Sheet6!$D$147:$D$157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328840"/>
        <c:axId val="415241"/>
      </c:areaChart>
      <c:cat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15241"/>
        <c:crosses val="autoZero"/>
        <c:auto val="1"/>
        <c:lblOffset val="100"/>
        <c:noMultiLvlLbl val="0"/>
      </c:catAx>
      <c:valAx>
        <c:axId val="41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732884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915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Biodiversity Indices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5"/>
          <c:y val="0.1395"/>
          <c:w val="0.99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Sheet6!$E$146</c:f>
              <c:strCache>
                <c:ptCount val="1"/>
                <c:pt idx="0">
                  <c:v>IRB-1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Sheet6!$E$147:$E$157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Sheet6!$F$146</c:f>
              <c:strCache>
                <c:ptCount val="1"/>
                <c:pt idx="0">
                  <c:v>IRB-2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Sheet6!$F$147:$F$157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73717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75"/>
          <c:y val="0.903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Harvest Levels of X2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"/>
          <c:y val="0.15575"/>
          <c:w val="0.9817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Sheet6!$F$132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Sheet6!$F$133:$F$142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Sheet6!$G$132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Sheet6!$G$133:$G$142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275324"/>
        <c:axId val="40042461"/>
      </c:lineChart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0042461"/>
        <c:crosses val="autoZero"/>
        <c:auto val="1"/>
        <c:lblOffset val="100"/>
        <c:noMultiLvlLbl val="0"/>
      </c:catAx>
      <c:valAx>
        <c:axId val="4004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427532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75"/>
          <c:y val="0.883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Production Levels of X2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6"/>
          <c:w val="0.98825"/>
          <c:h val="0.72375"/>
        </c:manualLayout>
      </c:layout>
      <c:lineChart>
        <c:grouping val="standard"/>
        <c:varyColors val="0"/>
        <c:ser>
          <c:idx val="0"/>
          <c:order val="0"/>
          <c:tx>
            <c:strRef>
              <c:f>Sheet6!$H$132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Sheet6!$H$133:$H$143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Sheet6!$I$132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Sheet6!$I$133:$I$143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2213879"/>
        <c:crosses val="autoZero"/>
        <c:auto val="1"/>
        <c:lblOffset val="100"/>
        <c:noMultiLvlLbl val="0"/>
      </c:catAx>
      <c:valAx>
        <c:axId val="22213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2483783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882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Harvest Levels of X3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275"/>
          <c:y val="0.14075"/>
          <c:w val="0.9917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Sheet6!$J$132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Sheet6!$J$133:$J$142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Sheet6!$K$132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Sheet6!$K$133:$K$142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4493745"/>
        <c:crosses val="autoZero"/>
        <c:auto val="1"/>
        <c:lblOffset val="100"/>
        <c:noMultiLvlLbl val="0"/>
      </c:catAx>
      <c:valAx>
        <c:axId val="54493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6570718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35"/>
          <c:y val="0.914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Baseline and Optimal Production Levels of X3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85"/>
          <c:w val="0.9972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Sheet6!$L$132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Sheet6!$L$133:$L$143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Sheet6!$M$132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Sheet6!$M$133:$M$143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1917195"/>
        <c:crosses val="autoZero"/>
        <c:auto val="1"/>
        <c:lblOffset val="100"/>
        <c:noMultiLvlLbl val="0"/>
      </c:catAx>
      <c:valAx>
        <c:axId val="51917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2068165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91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Net Natural Growth Rate Functions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8725"/>
          <c:y val="0.138"/>
          <c:w val="0.84925"/>
          <c:h val="0.74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Sheet1!$C$231</c:f>
              <c:strCache>
                <c:ptCount val="1"/>
                <c:pt idx="0">
                  <c:v>A.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Sheet1!$C$232:$C$332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Sheet1!$D$231</c:f>
              <c:strCache>
                <c:ptCount val="1"/>
                <c:pt idx="0">
                  <c:v>B.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Sheet1!$D$232:$D$332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Sheet1!$E$231</c:f>
              <c:strCache>
                <c:ptCount val="1"/>
                <c:pt idx="0">
                  <c:v>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Sheet1!$E$232:$E$332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Sheet1!$F$231</c:f>
              <c:strCache>
                <c:ptCount val="1"/>
                <c:pt idx="0">
                  <c:v>D.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Sheet1!$B$232:$B$332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Sheet1!$F$232:$F$332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Sheet1!$G$360</c:f>
              <c:strCache/>
            </c:strRef>
          </c:cat>
          <c:val>
            <c:numRef>
              <c:f>Sheet1!$N$331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Helv"/>
                <a:ea typeface="Helv"/>
                <a:cs typeface="Helv"/>
              </a:defRPr>
            </a:pPr>
          </a:p>
        </c:txPr>
        <c:crossAx val="43274838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375"/>
          <c:y val="0.9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Index of Relative Biodiversity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55"/>
          <c:w val="0.9757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Sheet6!$U$12</c:f>
              <c:strCache>
                <c:ptCount val="1"/>
                <c:pt idx="0">
                  <c:v>Base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Sheet6!$U$13:$U$23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Sheet6!$V$12</c:f>
              <c:strCache>
                <c:ptCount val="1"/>
                <c:pt idx="0">
                  <c:v>Independent Dynamic Maximization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Sheet6!$V$13:$V$23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Sheet6!$W$12</c:f>
              <c:strCache>
                <c:ptCount val="1"/>
                <c:pt idx="0">
                  <c:v>Interdependent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Sheet6!$W$13:$W$23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4543237"/>
        <c:crosses val="autoZero"/>
        <c:auto val="1"/>
        <c:lblOffset val="100"/>
        <c:noMultiLvlLbl val="0"/>
      </c:catAx>
      <c:valAx>
        <c:axId val="44543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60157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8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Renewable Resource Harvesting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75"/>
          <c:y val="0.14925"/>
          <c:w val="0.961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Sheet7!$E$8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Sheet7!$E$9:$E$19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Sheet7!$F$8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Sheet7!$F$9:$F$19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6534481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89225"/>
          <c:w val="0.6245"/>
          <c:h val="0.06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00" b="0" i="0" u="none" baseline="0">
          <a:latin typeface="Helv"/>
          <a:ea typeface="Helv"/>
          <a:cs typeface="Helv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Optimal Production Rate of a Renewable Resource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2085"/>
          <c:w val="0.93975"/>
          <c:h val="0.65575"/>
        </c:manualLayout>
      </c:layout>
      <c:lineChart>
        <c:grouping val="standard"/>
        <c:varyColors val="0"/>
        <c:ser>
          <c:idx val="0"/>
          <c:order val="0"/>
          <c:tx>
            <c:strRef>
              <c:f>Sheet7!$G$8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Sheet7!$G$9:$G$19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Sheet7!$H$8</c:f>
              <c:strCache>
                <c:ptCount val="1"/>
                <c:pt idx="0">
                  <c:v>Optimal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Sheet7!$H$9:$H$19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843855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88825"/>
          <c:w val="0.59825"/>
          <c:h val="0.05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Time Path of X Case 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9175"/>
          <c:w val="0.966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Sheet1!$C$379</c:f>
              <c:strCache>
                <c:ptCount val="1"/>
                <c:pt idx="0">
                  <c:v>Xt(A.)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Sheet1!$C$380:$C$410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560096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Time Path of X Case B</a:t>
            </a:r>
          </a:p>
        </c:rich>
      </c:tx>
      <c:layout>
        <c:manualLayout>
          <c:xMode val="factor"/>
          <c:yMode val="factor"/>
          <c:x val="-0.00775"/>
          <c:y val="-0.009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825"/>
          <c:w val="0.966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Sheet1!$D$379</c:f>
              <c:strCache>
                <c:ptCount val="1"/>
                <c:pt idx="0">
                  <c:v>Xt(B.)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Sheet1!$D$380:$D$410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71821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Time Path of X Case C</a:t>
            </a:r>
          </a:p>
        </c:rich>
      </c:tx>
      <c:layout/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52"/>
          <c:w val="0.966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Sheet1!$E$379</c:f>
              <c:strCache>
                <c:ptCount val="1"/>
                <c:pt idx="0">
                  <c:v>Xt(C.)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Sheet1!$E$380:$E$410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688178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Time Path of X Case D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3"/>
          <c:w val="0.966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Sheet1!$F$379</c:f>
              <c:strCache>
                <c:ptCount val="1"/>
                <c:pt idx="0">
                  <c:v>Xt(D.)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Sheet1!$F$380:$F$410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524691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Net Growth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7225"/>
          <c:w val="0.9707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Sheet1!$B$17:$B$117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Sheet1!$C$17:$C$117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173380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Yield-Effort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9"/>
          <c:w val="0.9702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Sheet1!$E$16</c:f>
              <c:strCache>
                <c:ptCount val="1"/>
                <c:pt idx="0">
                  <c:v>Y(E)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Sheet1!$D$17:$D$117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Sheet1!$E$17:$E$117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030097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4.emf" /><Relationship Id="rId3" Type="http://schemas.openxmlformats.org/officeDocument/2006/relationships/image" Target="../media/image35.emf" /><Relationship Id="rId4" Type="http://schemas.openxmlformats.org/officeDocument/2006/relationships/image" Target="../media/image3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7.emf" /><Relationship Id="rId11" Type="http://schemas.openxmlformats.org/officeDocument/2006/relationships/image" Target="../media/image10.emf" /><Relationship Id="rId12" Type="http://schemas.openxmlformats.org/officeDocument/2006/relationships/image" Target="../media/image12.emf" /><Relationship Id="rId13" Type="http://schemas.openxmlformats.org/officeDocument/2006/relationships/image" Target="../media/image3.emf" /><Relationship Id="rId14" Type="http://schemas.openxmlformats.org/officeDocument/2006/relationships/image" Target="../media/image13.emf" /><Relationship Id="rId15" Type="http://schemas.openxmlformats.org/officeDocument/2006/relationships/image" Target="../media/image10.emf" /><Relationship Id="rId16" Type="http://schemas.openxmlformats.org/officeDocument/2006/relationships/image" Target="../media/image13.emf" /><Relationship Id="rId17" Type="http://schemas.openxmlformats.org/officeDocument/2006/relationships/image" Target="../media/image15.emf" /><Relationship Id="rId18" Type="http://schemas.openxmlformats.org/officeDocument/2006/relationships/image" Target="../media/image17.emf" /><Relationship Id="rId19" Type="http://schemas.openxmlformats.org/officeDocument/2006/relationships/image" Target="../media/image13.emf" /><Relationship Id="rId20" Type="http://schemas.openxmlformats.org/officeDocument/2006/relationships/image" Target="../media/image13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6.emf" /><Relationship Id="rId26" Type="http://schemas.openxmlformats.org/officeDocument/2006/relationships/image" Target="../media/image25.emf" /><Relationship Id="rId27" Type="http://schemas.openxmlformats.org/officeDocument/2006/relationships/image" Target="../media/image24.emf" /><Relationship Id="rId28" Type="http://schemas.openxmlformats.org/officeDocument/2006/relationships/image" Target="../media/image23.emf" /><Relationship Id="rId29" Type="http://schemas.openxmlformats.org/officeDocument/2006/relationships/image" Target="../media/image4.emf" /><Relationship Id="rId30" Type="http://schemas.openxmlformats.org/officeDocument/2006/relationships/image" Target="../media/image14.emf" /><Relationship Id="rId31" Type="http://schemas.openxmlformats.org/officeDocument/2006/relationships/image" Target="../media/image7.emf" /><Relationship Id="rId32" Type="http://schemas.openxmlformats.org/officeDocument/2006/relationships/image" Target="../media/image1.emf" /><Relationship Id="rId33" Type="http://schemas.openxmlformats.org/officeDocument/2006/relationships/image" Target="../media/image16.emf" /><Relationship Id="rId34" Type="http://schemas.openxmlformats.org/officeDocument/2006/relationships/image" Target="../media/image9.emf" /><Relationship Id="rId35" Type="http://schemas.openxmlformats.org/officeDocument/2006/relationships/image" Target="../media/image8.emf" /><Relationship Id="rId36" Type="http://schemas.openxmlformats.org/officeDocument/2006/relationships/image" Target="../media/image10.emf" /><Relationship Id="rId37" Type="http://schemas.openxmlformats.org/officeDocument/2006/relationships/image" Target="../media/image7.emf" /><Relationship Id="rId38" Type="http://schemas.openxmlformats.org/officeDocument/2006/relationships/image" Target="../media/image12.emf" /><Relationship Id="rId39" Type="http://schemas.openxmlformats.org/officeDocument/2006/relationships/image" Target="../media/image3.emf" /><Relationship Id="rId40" Type="http://schemas.openxmlformats.org/officeDocument/2006/relationships/image" Target="../media/image13.emf" /><Relationship Id="rId41" Type="http://schemas.openxmlformats.org/officeDocument/2006/relationships/image" Target="../media/image10.emf" /><Relationship Id="rId42" Type="http://schemas.openxmlformats.org/officeDocument/2006/relationships/image" Target="../media/image17.emf" /><Relationship Id="rId43" Type="http://schemas.openxmlformats.org/officeDocument/2006/relationships/image" Target="../media/image13.emf" /><Relationship Id="rId44" Type="http://schemas.openxmlformats.org/officeDocument/2006/relationships/image" Target="../media/image15.emf" /><Relationship Id="rId45" Type="http://schemas.openxmlformats.org/officeDocument/2006/relationships/image" Target="../media/image24.emf" /><Relationship Id="rId46" Type="http://schemas.openxmlformats.org/officeDocument/2006/relationships/image" Target="../media/image23.emf" /><Relationship Id="rId47" Type="http://schemas.openxmlformats.org/officeDocument/2006/relationships/image" Target="../media/image9.emf" /><Relationship Id="rId48" Type="http://schemas.openxmlformats.org/officeDocument/2006/relationships/image" Target="../media/image8.emf" /><Relationship Id="rId49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1.emf" /><Relationship Id="rId3" Type="http://schemas.openxmlformats.org/officeDocument/2006/relationships/image" Target="../media/image4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0.10625</cdr:y>
    </cdr:from>
    <cdr:to>
      <cdr:x>0.0965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"/>
          <a:ext cx="371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F(X)</a:t>
          </a:r>
        </a:p>
      </cdr:txBody>
    </cdr:sp>
  </cdr:relSizeAnchor>
  <cdr:relSizeAnchor xmlns:cdr="http://schemas.openxmlformats.org/drawingml/2006/chartDrawing">
    <cdr:from>
      <cdr:x>0.876</cdr:x>
      <cdr:y>0.74375</cdr:y>
    </cdr:from>
    <cdr:to>
      <cdr:x>0.9305</cdr:x>
      <cdr:y>0.809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2819400"/>
          <a:ext cx="209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X</a:t>
          </a:r>
        </a:p>
      </cdr:txBody>
    </cdr:sp>
  </cdr:relSizeAnchor>
  <cdr:relSizeAnchor xmlns:cdr="http://schemas.openxmlformats.org/drawingml/2006/chartDrawing">
    <cdr:from>
      <cdr:x>0.0955</cdr:x>
      <cdr:y>0.1425</cdr:y>
    </cdr:from>
    <cdr:to>
      <cdr:x>0.47425</cdr:x>
      <cdr:y>0.2255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533400"/>
          <a:ext cx="1457325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0.543</cdr:x>
      <cdr:y>0.1425</cdr:y>
    </cdr:from>
    <cdr:to>
      <cdr:x>0.92925</cdr:x>
      <cdr:y>0.2255</cdr:y>
    </cdr:to>
    <cdr:pic>
      <cdr:nvPicPr>
        <cdr:cNvPr id="4" name="Picture 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85975" y="533400"/>
          <a:ext cx="14859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0.41925</cdr:x>
      <cdr:y>0.514</cdr:y>
    </cdr:from>
    <cdr:to>
      <cdr:x>0.7905</cdr:x>
      <cdr:y>0.597</cdr:y>
    </cdr:to>
    <cdr:pic>
      <cdr:nvPicPr>
        <cdr:cNvPr id="5" name="Picture 6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609725" y="1943100"/>
          <a:ext cx="142875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</cdr:x>
      <cdr:y>0.59675</cdr:y>
    </cdr:from>
    <cdr:to>
      <cdr:x>0.93275</cdr:x>
      <cdr:y>0.67975</cdr:y>
    </cdr:to>
    <cdr:pic>
      <cdr:nvPicPr>
        <cdr:cNvPr id="6" name="Picture 8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400175" y="2257425"/>
          <a:ext cx="2181225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50</xdr:row>
      <xdr:rowOff>38100</xdr:rowOff>
    </xdr:from>
    <xdr:to>
      <xdr:col>6</xdr:col>
      <xdr:colOff>400050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209550" y="8734425"/>
        <a:ext cx="49434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50</xdr:row>
      <xdr:rowOff>38100</xdr:rowOff>
    </xdr:from>
    <xdr:to>
      <xdr:col>12</xdr:col>
      <xdr:colOff>704850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5495925" y="8734425"/>
        <a:ext cx="50673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93</xdr:row>
      <xdr:rowOff>85725</xdr:rowOff>
    </xdr:from>
    <xdr:to>
      <xdr:col>12</xdr:col>
      <xdr:colOff>714375</xdr:colOff>
      <xdr:row>107</xdr:row>
      <xdr:rowOff>104775</xdr:rowOff>
    </xdr:to>
    <xdr:graphicFrame>
      <xdr:nvGraphicFramePr>
        <xdr:cNvPr id="3" name="Chart 3"/>
        <xdr:cNvGraphicFramePr/>
      </xdr:nvGraphicFramePr>
      <xdr:xfrm>
        <a:off x="5524500" y="15363825"/>
        <a:ext cx="50482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93</xdr:row>
      <xdr:rowOff>85725</xdr:rowOff>
    </xdr:from>
    <xdr:to>
      <xdr:col>6</xdr:col>
      <xdr:colOff>438150</xdr:colOff>
      <xdr:row>107</xdr:row>
      <xdr:rowOff>133350</xdr:rowOff>
    </xdr:to>
    <xdr:graphicFrame>
      <xdr:nvGraphicFramePr>
        <xdr:cNvPr id="4" name="Chart 4"/>
        <xdr:cNvGraphicFramePr/>
      </xdr:nvGraphicFramePr>
      <xdr:xfrm>
        <a:off x="171450" y="15354300"/>
        <a:ext cx="50196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771525</xdr:colOff>
      <xdr:row>110</xdr:row>
      <xdr:rowOff>9525</xdr:rowOff>
    </xdr:from>
    <xdr:to>
      <xdr:col>9</xdr:col>
      <xdr:colOff>781050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2714625" y="17887950"/>
        <a:ext cx="543877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64</xdr:row>
      <xdr:rowOff>123825</xdr:rowOff>
    </xdr:from>
    <xdr:to>
      <xdr:col>6</xdr:col>
      <xdr:colOff>400050</xdr:colOff>
      <xdr:row>78</xdr:row>
      <xdr:rowOff>142875</xdr:rowOff>
    </xdr:to>
    <xdr:graphicFrame>
      <xdr:nvGraphicFramePr>
        <xdr:cNvPr id="6" name="Chart 6"/>
        <xdr:cNvGraphicFramePr/>
      </xdr:nvGraphicFramePr>
      <xdr:xfrm>
        <a:off x="209550" y="10963275"/>
        <a:ext cx="4943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64</xdr:row>
      <xdr:rowOff>123825</xdr:rowOff>
    </xdr:from>
    <xdr:to>
      <xdr:col>12</xdr:col>
      <xdr:colOff>742950</xdr:colOff>
      <xdr:row>78</xdr:row>
      <xdr:rowOff>133350</xdr:rowOff>
    </xdr:to>
    <xdr:graphicFrame>
      <xdr:nvGraphicFramePr>
        <xdr:cNvPr id="7" name="Chart 7"/>
        <xdr:cNvGraphicFramePr/>
      </xdr:nvGraphicFramePr>
      <xdr:xfrm>
        <a:off x="5524500" y="10963275"/>
        <a:ext cx="5076825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57150</xdr:colOff>
      <xdr:row>79</xdr:row>
      <xdr:rowOff>28575</xdr:rowOff>
    </xdr:from>
    <xdr:to>
      <xdr:col>6</xdr:col>
      <xdr:colOff>400050</xdr:colOff>
      <xdr:row>93</xdr:row>
      <xdr:rowOff>57150</xdr:rowOff>
    </xdr:to>
    <xdr:graphicFrame>
      <xdr:nvGraphicFramePr>
        <xdr:cNvPr id="8" name="Chart 8"/>
        <xdr:cNvGraphicFramePr/>
      </xdr:nvGraphicFramePr>
      <xdr:xfrm>
        <a:off x="190500" y="13173075"/>
        <a:ext cx="49625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79</xdr:row>
      <xdr:rowOff>28575</xdr:rowOff>
    </xdr:from>
    <xdr:to>
      <xdr:col>12</xdr:col>
      <xdr:colOff>714375</xdr:colOff>
      <xdr:row>93</xdr:row>
      <xdr:rowOff>95250</xdr:rowOff>
    </xdr:to>
    <xdr:graphicFrame>
      <xdr:nvGraphicFramePr>
        <xdr:cNvPr id="9" name="Chart 9"/>
        <xdr:cNvGraphicFramePr/>
      </xdr:nvGraphicFramePr>
      <xdr:xfrm>
        <a:off x="5514975" y="13173075"/>
        <a:ext cx="5057775" cy="2209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95250</xdr:colOff>
      <xdr:row>12</xdr:row>
      <xdr:rowOff>28575</xdr:rowOff>
    </xdr:from>
    <xdr:to>
      <xdr:col>30</xdr:col>
      <xdr:colOff>371475</xdr:colOff>
      <xdr:row>26</xdr:row>
      <xdr:rowOff>9525</xdr:rowOff>
    </xdr:to>
    <xdr:graphicFrame>
      <xdr:nvGraphicFramePr>
        <xdr:cNvPr id="10" name="Chart 13"/>
        <xdr:cNvGraphicFramePr/>
      </xdr:nvGraphicFramePr>
      <xdr:xfrm>
        <a:off x="16449675" y="2209800"/>
        <a:ext cx="5010150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7</xdr:col>
      <xdr:colOff>495300</xdr:colOff>
      <xdr:row>20</xdr:row>
      <xdr:rowOff>0</xdr:rowOff>
    </xdr:to>
    <xdr:graphicFrame>
      <xdr:nvGraphicFramePr>
        <xdr:cNvPr id="1" name="Chart 6"/>
        <xdr:cNvGraphicFramePr/>
      </xdr:nvGraphicFramePr>
      <xdr:xfrm>
        <a:off x="2867025" y="1095375"/>
        <a:ext cx="2905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6</xdr:row>
      <xdr:rowOff>0</xdr:rowOff>
    </xdr:from>
    <xdr:to>
      <xdr:col>12</xdr:col>
      <xdr:colOff>0</xdr:colOff>
      <xdr:row>20</xdr:row>
      <xdr:rowOff>9525</xdr:rowOff>
    </xdr:to>
    <xdr:graphicFrame>
      <xdr:nvGraphicFramePr>
        <xdr:cNvPr id="2" name="Chart 7"/>
        <xdr:cNvGraphicFramePr/>
      </xdr:nvGraphicFramePr>
      <xdr:xfrm>
        <a:off x="5800725" y="1085850"/>
        <a:ext cx="30480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0.5665</cdr:y>
    </cdr:from>
    <cdr:to>
      <cdr:x>0.589</cdr:x>
      <cdr:y>0.6485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314450"/>
          <a:ext cx="695325" cy="1905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Helv"/>
              <a:ea typeface="Helv"/>
              <a:cs typeface="Helv"/>
            </a:rPr>
            <a:t>Max at K/2</a:t>
          </a:r>
        </a:p>
      </cdr:txBody>
    </cdr:sp>
  </cdr:relSizeAnchor>
  <cdr:relSizeAnchor xmlns:cdr="http://schemas.openxmlformats.org/drawingml/2006/chartDrawing">
    <cdr:from>
      <cdr:x>0.9015</cdr:x>
      <cdr:y>0.8085</cdr:y>
    </cdr:from>
    <cdr:to>
      <cdr:x>0.94925</cdr:x>
      <cdr:y>0.8905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1876425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X</a:t>
          </a:r>
        </a:p>
      </cdr:txBody>
    </cdr:sp>
  </cdr:relSizeAnchor>
  <cdr:relSizeAnchor xmlns:cdr="http://schemas.openxmlformats.org/drawingml/2006/chartDrawing">
    <cdr:from>
      <cdr:x>0.007</cdr:x>
      <cdr:y>0.10175</cdr:y>
    </cdr:from>
    <cdr:to>
      <cdr:x>0.10025</cdr:x>
      <cdr:y>0.18375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" y="228600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F(X)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0.574</cdr:y>
    </cdr:from>
    <cdr:to>
      <cdr:x>0.60375</cdr:x>
      <cdr:y>0.65475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352550"/>
          <a:ext cx="914400" cy="1905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MSY =r/(2q)</a:t>
          </a:r>
        </a:p>
      </cdr:txBody>
    </cdr:sp>
  </cdr:relSizeAnchor>
  <cdr:relSizeAnchor xmlns:cdr="http://schemas.openxmlformats.org/drawingml/2006/chartDrawing">
    <cdr:from>
      <cdr:x>0.90025</cdr:x>
      <cdr:y>0.7825</cdr:y>
    </cdr:from>
    <cdr:to>
      <cdr:x>0.95075</cdr:x>
      <cdr:y>0.86325</cdr:y>
    </cdr:to>
    <cdr:sp>
      <cdr:nvSpPr>
        <cdr:cNvPr id="2" name="TextBox 3"/>
        <cdr:cNvSpPr txBox="1">
          <a:spLocks noChangeArrowheads="1"/>
        </cdr:cNvSpPr>
      </cdr:nvSpPr>
      <cdr:spPr>
        <a:xfrm>
          <a:off x="3724275" y="184785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E</a:t>
          </a:r>
        </a:p>
      </cdr:txBody>
    </cdr:sp>
  </cdr:relSizeAnchor>
  <cdr:relSizeAnchor xmlns:cdr="http://schemas.openxmlformats.org/drawingml/2006/chartDrawing">
    <cdr:from>
      <cdr:x>0</cdr:x>
      <cdr:y>0.09525</cdr:y>
    </cdr:from>
    <cdr:to>
      <cdr:x>0.09875</cdr:x>
      <cdr:y>0.176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219075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Y(E)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0.1155</cdr:y>
    </cdr:from>
    <cdr:to>
      <cdr:x>0.05525</cdr:x>
      <cdr:y>0.16975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419100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F(X)</a:t>
          </a:r>
        </a:p>
      </cdr:txBody>
    </cdr:sp>
  </cdr:relSizeAnchor>
  <cdr:relSizeAnchor xmlns:cdr="http://schemas.openxmlformats.org/drawingml/2006/chartDrawing">
    <cdr:from>
      <cdr:x>0.89925</cdr:x>
      <cdr:y>0.8005</cdr:y>
    </cdr:from>
    <cdr:to>
      <cdr:x>0.92575</cdr:x>
      <cdr:y>0.85475</cdr:y>
    </cdr:to>
    <cdr:sp>
      <cdr:nvSpPr>
        <cdr:cNvPr id="2" name="TextBox 2"/>
        <cdr:cNvSpPr txBox="1">
          <a:spLocks noChangeArrowheads="1"/>
        </cdr:cNvSpPr>
      </cdr:nvSpPr>
      <cdr:spPr>
        <a:xfrm>
          <a:off x="6772275" y="2943225"/>
          <a:ext cx="200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X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0.092</cdr:y>
    </cdr:from>
    <cdr:to>
      <cdr:x>0.102</cdr:x>
      <cdr:y>0.15725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371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F(X)</a:t>
          </a:r>
        </a:p>
      </cdr:txBody>
    </cdr:sp>
  </cdr:relSizeAnchor>
  <cdr:relSizeAnchor xmlns:cdr="http://schemas.openxmlformats.org/drawingml/2006/chartDrawing">
    <cdr:from>
      <cdr:x>0.91</cdr:x>
      <cdr:y>0.8545</cdr:y>
    </cdr:from>
    <cdr:to>
      <cdr:x>0.9675</cdr:x>
      <cdr:y>0.91975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3238500"/>
          <a:ext cx="209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X</a:t>
          </a:r>
        </a:p>
      </cdr:txBody>
    </cdr:sp>
  </cdr:relSizeAnchor>
  <cdr:relSizeAnchor xmlns:cdr="http://schemas.openxmlformats.org/drawingml/2006/chartDrawing">
    <cdr:from>
      <cdr:x>0.1285</cdr:x>
      <cdr:y>0.201</cdr:y>
    </cdr:from>
    <cdr:to>
      <cdr:x>0.808</cdr:x>
      <cdr:y>0.201</cdr:y>
    </cdr:to>
    <cdr:sp>
      <cdr:nvSpPr>
        <cdr:cNvPr id="3" name="Line 7"/>
        <cdr:cNvSpPr>
          <a:spLocks/>
        </cdr:cNvSpPr>
      </cdr:nvSpPr>
      <cdr:spPr>
        <a:xfrm>
          <a:off x="466725" y="762000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0.26875</cdr:y>
    </cdr:from>
    <cdr:to>
      <cdr:x>0.81025</cdr:x>
      <cdr:y>0.2695</cdr:y>
    </cdr:to>
    <cdr:sp>
      <cdr:nvSpPr>
        <cdr:cNvPr id="4" name="Line 8"/>
        <cdr:cNvSpPr>
          <a:spLocks/>
        </cdr:cNvSpPr>
      </cdr:nvSpPr>
      <cdr:spPr>
        <a:xfrm>
          <a:off x="466725" y="1019175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0.5225</cdr:y>
    </cdr:from>
    <cdr:to>
      <cdr:x>0.81025</cdr:x>
      <cdr:y>0.523</cdr:y>
    </cdr:to>
    <cdr:sp>
      <cdr:nvSpPr>
        <cdr:cNvPr id="5" name="Line 9"/>
        <cdr:cNvSpPr>
          <a:spLocks/>
        </cdr:cNvSpPr>
      </cdr:nvSpPr>
      <cdr:spPr>
        <a:xfrm>
          <a:off x="457200" y="1981200"/>
          <a:ext cx="2486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0.162</cdr:y>
    </cdr:from>
    <cdr:to>
      <cdr:x>0.12875</cdr:x>
      <cdr:y>0.22725</cdr:y>
    </cdr:to>
    <cdr:sp>
      <cdr:nvSpPr>
        <cdr:cNvPr id="6" name="TextBox 10"/>
        <cdr:cNvSpPr txBox="1">
          <a:spLocks noChangeArrowheads="1"/>
        </cdr:cNvSpPr>
      </cdr:nvSpPr>
      <cdr:spPr>
        <a:xfrm>
          <a:off x="190500" y="609600"/>
          <a:ext cx="276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h3</a:t>
          </a:r>
        </a:p>
      </cdr:txBody>
    </cdr:sp>
  </cdr:relSizeAnchor>
  <cdr:relSizeAnchor xmlns:cdr="http://schemas.openxmlformats.org/drawingml/2006/chartDrawing">
    <cdr:from>
      <cdr:x>0.05275</cdr:x>
      <cdr:y>0.23725</cdr:y>
    </cdr:from>
    <cdr:to>
      <cdr:x>0.12875</cdr:x>
      <cdr:y>0.3025</cdr:y>
    </cdr:to>
    <cdr:sp>
      <cdr:nvSpPr>
        <cdr:cNvPr id="7" name="TextBox 11"/>
        <cdr:cNvSpPr txBox="1">
          <a:spLocks noChangeArrowheads="1"/>
        </cdr:cNvSpPr>
      </cdr:nvSpPr>
      <cdr:spPr>
        <a:xfrm>
          <a:off x="190500" y="895350"/>
          <a:ext cx="276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h2</a:t>
          </a:r>
        </a:p>
      </cdr:txBody>
    </cdr:sp>
  </cdr:relSizeAnchor>
  <cdr:relSizeAnchor xmlns:cdr="http://schemas.openxmlformats.org/drawingml/2006/chartDrawing">
    <cdr:from>
      <cdr:x>0.05275</cdr:x>
      <cdr:y>0.4855</cdr:y>
    </cdr:from>
    <cdr:to>
      <cdr:x>0.12875</cdr:x>
      <cdr:y>0.55075</cdr:y>
    </cdr:to>
    <cdr:sp>
      <cdr:nvSpPr>
        <cdr:cNvPr id="8" name="TextBox 12"/>
        <cdr:cNvSpPr txBox="1">
          <a:spLocks noChangeArrowheads="1"/>
        </cdr:cNvSpPr>
      </cdr:nvSpPr>
      <cdr:spPr>
        <a:xfrm>
          <a:off x="190500" y="1838325"/>
          <a:ext cx="276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h1</a:t>
          </a:r>
        </a:p>
      </cdr:txBody>
    </cdr:sp>
  </cdr:relSizeAnchor>
  <cdr:relSizeAnchor xmlns:cdr="http://schemas.openxmlformats.org/drawingml/2006/chartDrawing">
    <cdr:from>
      <cdr:x>0.812</cdr:x>
      <cdr:y>0.23725</cdr:y>
    </cdr:from>
    <cdr:to>
      <cdr:x>0.9245</cdr:x>
      <cdr:y>0.3025</cdr:y>
    </cdr:to>
    <cdr:sp>
      <cdr:nvSpPr>
        <cdr:cNvPr id="9" name="TextBox 13"/>
        <cdr:cNvSpPr txBox="1">
          <a:spLocks noChangeArrowheads="1"/>
        </cdr:cNvSpPr>
      </cdr:nvSpPr>
      <cdr:spPr>
        <a:xfrm>
          <a:off x="2952750" y="895350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MSY</a:t>
          </a:r>
        </a:p>
      </cdr:txBody>
    </cdr:sp>
  </cdr:relSizeAnchor>
  <cdr:relSizeAnchor xmlns:cdr="http://schemas.openxmlformats.org/drawingml/2006/chartDrawing">
    <cdr:from>
      <cdr:x>0.7785</cdr:x>
      <cdr:y>0.8545</cdr:y>
    </cdr:from>
    <cdr:to>
      <cdr:x>0.836</cdr:x>
      <cdr:y>0.91975</cdr:y>
    </cdr:to>
    <cdr:sp>
      <cdr:nvSpPr>
        <cdr:cNvPr id="10" name="TextBox 14"/>
        <cdr:cNvSpPr txBox="1">
          <a:spLocks noChangeArrowheads="1"/>
        </cdr:cNvSpPr>
      </cdr:nvSpPr>
      <cdr:spPr>
        <a:xfrm>
          <a:off x="2828925" y="3238500"/>
          <a:ext cx="209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K</a:t>
          </a:r>
        </a:p>
      </cdr:txBody>
    </cdr:sp>
  </cdr:relSizeAnchor>
  <cdr:relSizeAnchor xmlns:cdr="http://schemas.openxmlformats.org/drawingml/2006/chartDrawing">
    <cdr:from>
      <cdr:x>0.41725</cdr:x>
      <cdr:y>0.8545</cdr:y>
    </cdr:from>
    <cdr:to>
      <cdr:x>0.5115</cdr:x>
      <cdr:y>0.91975</cdr:y>
    </cdr:to>
    <cdr:sp>
      <cdr:nvSpPr>
        <cdr:cNvPr id="11" name="TextBox 15"/>
        <cdr:cNvSpPr txBox="1">
          <a:spLocks noChangeArrowheads="1"/>
        </cdr:cNvSpPr>
      </cdr:nvSpPr>
      <cdr:spPr>
        <a:xfrm>
          <a:off x="1514475" y="3238500"/>
          <a:ext cx="342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K/2</a:t>
          </a:r>
        </a:p>
      </cdr:txBody>
    </cdr:sp>
  </cdr:relSizeAnchor>
  <cdr:relSizeAnchor xmlns:cdr="http://schemas.openxmlformats.org/drawingml/2006/chartDrawing">
    <cdr:from>
      <cdr:x>0.23925</cdr:x>
      <cdr:y>0.5225</cdr:y>
    </cdr:from>
    <cdr:to>
      <cdr:x>0.23925</cdr:x>
      <cdr:y>0.83025</cdr:y>
    </cdr:to>
    <cdr:sp>
      <cdr:nvSpPr>
        <cdr:cNvPr id="12" name="Line 16"/>
        <cdr:cNvSpPr>
          <a:spLocks/>
        </cdr:cNvSpPr>
      </cdr:nvSpPr>
      <cdr:spPr>
        <a:xfrm>
          <a:off x="866775" y="1981200"/>
          <a:ext cx="0" cy="1171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0.5225</cdr:y>
    </cdr:from>
    <cdr:to>
      <cdr:x>0.68975</cdr:x>
      <cdr:y>0.83025</cdr:y>
    </cdr:to>
    <cdr:sp>
      <cdr:nvSpPr>
        <cdr:cNvPr id="13" name="Line 17"/>
        <cdr:cNvSpPr>
          <a:spLocks/>
        </cdr:cNvSpPr>
      </cdr:nvSpPr>
      <cdr:spPr>
        <a:xfrm flipH="1">
          <a:off x="2505075" y="1981200"/>
          <a:ext cx="0" cy="1171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0.7505</cdr:y>
    </cdr:from>
    <cdr:to>
      <cdr:x>0.69125</cdr:x>
      <cdr:y>0.81575</cdr:y>
    </cdr:to>
    <cdr:sp>
      <cdr:nvSpPr>
        <cdr:cNvPr id="14" name="TextBox 18"/>
        <cdr:cNvSpPr txBox="1">
          <a:spLocks noChangeArrowheads="1"/>
        </cdr:cNvSpPr>
      </cdr:nvSpPr>
      <cdr:spPr>
        <a:xfrm>
          <a:off x="2324100" y="2847975"/>
          <a:ext cx="190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</a:t>
          </a:r>
        </a:p>
      </cdr:txBody>
    </cdr:sp>
  </cdr:relSizeAnchor>
  <cdr:relSizeAnchor xmlns:cdr="http://schemas.openxmlformats.org/drawingml/2006/chartDrawing">
    <cdr:from>
      <cdr:x>0.24025</cdr:x>
      <cdr:y>0.7505</cdr:y>
    </cdr:from>
    <cdr:to>
      <cdr:x>0.2925</cdr:x>
      <cdr:y>0.81575</cdr:y>
    </cdr:to>
    <cdr:sp>
      <cdr:nvSpPr>
        <cdr:cNvPr id="15" name="TextBox 19"/>
        <cdr:cNvSpPr txBox="1">
          <a:spLocks noChangeArrowheads="1"/>
        </cdr:cNvSpPr>
      </cdr:nvSpPr>
      <cdr:spPr>
        <a:xfrm>
          <a:off x="866775" y="2847975"/>
          <a:ext cx="190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</a:t>
          </a:r>
        </a:p>
      </cdr:txBody>
    </cdr:sp>
  </cdr:relSizeAnchor>
  <cdr:relSizeAnchor xmlns:cdr="http://schemas.openxmlformats.org/drawingml/2006/chartDrawing">
    <cdr:from>
      <cdr:x>0.46125</cdr:x>
      <cdr:y>0.26875</cdr:y>
    </cdr:from>
    <cdr:to>
      <cdr:x>0.46125</cdr:x>
      <cdr:y>0.83025</cdr:y>
    </cdr:to>
    <cdr:sp>
      <cdr:nvSpPr>
        <cdr:cNvPr id="16" name="Line 20"/>
        <cdr:cNvSpPr>
          <a:spLocks/>
        </cdr:cNvSpPr>
      </cdr:nvSpPr>
      <cdr:spPr>
        <a:xfrm>
          <a:off x="1676400" y="1019175"/>
          <a:ext cx="0" cy="2133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206</xdr:row>
      <xdr:rowOff>9525</xdr:rowOff>
    </xdr:from>
    <xdr:to>
      <xdr:col>8</xdr:col>
      <xdr:colOff>295275</xdr:colOff>
      <xdr:row>220</xdr:row>
      <xdr:rowOff>142875</xdr:rowOff>
    </xdr:to>
    <xdr:graphicFrame>
      <xdr:nvGraphicFramePr>
        <xdr:cNvPr id="1" name="Chart 71"/>
        <xdr:cNvGraphicFramePr/>
      </xdr:nvGraphicFramePr>
      <xdr:xfrm>
        <a:off x="2809875" y="18630900"/>
        <a:ext cx="39624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192</xdr:row>
      <xdr:rowOff>0</xdr:rowOff>
    </xdr:from>
    <xdr:to>
      <xdr:col>8</xdr:col>
      <xdr:colOff>295275</xdr:colOff>
      <xdr:row>205</xdr:row>
      <xdr:rowOff>161925</xdr:rowOff>
    </xdr:to>
    <xdr:graphicFrame>
      <xdr:nvGraphicFramePr>
        <xdr:cNvPr id="2" name="Chart 72"/>
        <xdr:cNvGraphicFramePr/>
      </xdr:nvGraphicFramePr>
      <xdr:xfrm>
        <a:off x="2809875" y="16221075"/>
        <a:ext cx="3962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357</xdr:row>
      <xdr:rowOff>57150</xdr:rowOff>
    </xdr:from>
    <xdr:to>
      <xdr:col>5</xdr:col>
      <xdr:colOff>600075</xdr:colOff>
      <xdr:row>373</xdr:row>
      <xdr:rowOff>76200</xdr:rowOff>
    </xdr:to>
    <xdr:graphicFrame>
      <xdr:nvGraphicFramePr>
        <xdr:cNvPr id="3" name="Chart 80"/>
        <xdr:cNvGraphicFramePr/>
      </xdr:nvGraphicFramePr>
      <xdr:xfrm>
        <a:off x="504825" y="26698575"/>
        <a:ext cx="3848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374</xdr:row>
      <xdr:rowOff>9525</xdr:rowOff>
    </xdr:from>
    <xdr:to>
      <xdr:col>10</xdr:col>
      <xdr:colOff>361950</xdr:colOff>
      <xdr:row>382</xdr:row>
      <xdr:rowOff>133350</xdr:rowOff>
    </xdr:to>
    <xdr:graphicFrame>
      <xdr:nvGraphicFramePr>
        <xdr:cNvPr id="4" name="Chart 82"/>
        <xdr:cNvGraphicFramePr/>
      </xdr:nvGraphicFramePr>
      <xdr:xfrm>
        <a:off x="4752975" y="30632400"/>
        <a:ext cx="36195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382</xdr:row>
      <xdr:rowOff>152400</xdr:rowOff>
    </xdr:from>
    <xdr:to>
      <xdr:col>10</xdr:col>
      <xdr:colOff>371475</xdr:colOff>
      <xdr:row>392</xdr:row>
      <xdr:rowOff>9525</xdr:rowOff>
    </xdr:to>
    <xdr:graphicFrame>
      <xdr:nvGraphicFramePr>
        <xdr:cNvPr id="5" name="Chart 83"/>
        <xdr:cNvGraphicFramePr/>
      </xdr:nvGraphicFramePr>
      <xdr:xfrm>
        <a:off x="4743450" y="32099250"/>
        <a:ext cx="3638550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962025</xdr:colOff>
      <xdr:row>392</xdr:row>
      <xdr:rowOff>9525</xdr:rowOff>
    </xdr:from>
    <xdr:to>
      <xdr:col>10</xdr:col>
      <xdr:colOff>390525</xdr:colOff>
      <xdr:row>401</xdr:row>
      <xdr:rowOff>123825</xdr:rowOff>
    </xdr:to>
    <xdr:graphicFrame>
      <xdr:nvGraphicFramePr>
        <xdr:cNvPr id="6" name="Chart 84"/>
        <xdr:cNvGraphicFramePr/>
      </xdr:nvGraphicFramePr>
      <xdr:xfrm>
        <a:off x="4714875" y="33575625"/>
        <a:ext cx="3686175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401</xdr:row>
      <xdr:rowOff>133350</xdr:rowOff>
    </xdr:from>
    <xdr:to>
      <xdr:col>10</xdr:col>
      <xdr:colOff>428625</xdr:colOff>
      <xdr:row>413</xdr:row>
      <xdr:rowOff>0</xdr:rowOff>
    </xdr:to>
    <xdr:graphicFrame>
      <xdr:nvGraphicFramePr>
        <xdr:cNvPr id="7" name="Chart 85"/>
        <xdr:cNvGraphicFramePr/>
      </xdr:nvGraphicFramePr>
      <xdr:xfrm>
        <a:off x="4743450" y="35156775"/>
        <a:ext cx="3695700" cy="1790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15</xdr:row>
      <xdr:rowOff>19050</xdr:rowOff>
    </xdr:from>
    <xdr:to>
      <xdr:col>5</xdr:col>
      <xdr:colOff>561975</xdr:colOff>
      <xdr:row>121</xdr:row>
      <xdr:rowOff>0</xdr:rowOff>
    </xdr:to>
    <xdr:graphicFrame>
      <xdr:nvGraphicFramePr>
        <xdr:cNvPr id="8" name="Chart 89"/>
        <xdr:cNvGraphicFramePr/>
      </xdr:nvGraphicFramePr>
      <xdr:xfrm>
        <a:off x="123825" y="2695575"/>
        <a:ext cx="4191000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571500</xdr:colOff>
      <xdr:row>15</xdr:row>
      <xdr:rowOff>0</xdr:rowOff>
    </xdr:from>
    <xdr:to>
      <xdr:col>10</xdr:col>
      <xdr:colOff>457200</xdr:colOff>
      <xdr:row>121</xdr:row>
      <xdr:rowOff>19050</xdr:rowOff>
    </xdr:to>
    <xdr:graphicFrame>
      <xdr:nvGraphicFramePr>
        <xdr:cNvPr id="9" name="Chart 90"/>
        <xdr:cNvGraphicFramePr/>
      </xdr:nvGraphicFramePr>
      <xdr:xfrm>
        <a:off x="4324350" y="2676525"/>
        <a:ext cx="414337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571500</xdr:colOff>
      <xdr:row>121</xdr:row>
      <xdr:rowOff>76200</xdr:rowOff>
    </xdr:from>
    <xdr:to>
      <xdr:col>8</xdr:col>
      <xdr:colOff>314325</xdr:colOff>
      <xdr:row>136</xdr:row>
      <xdr:rowOff>95250</xdr:rowOff>
    </xdr:to>
    <xdr:graphicFrame>
      <xdr:nvGraphicFramePr>
        <xdr:cNvPr id="10" name="Chart 93"/>
        <xdr:cNvGraphicFramePr/>
      </xdr:nvGraphicFramePr>
      <xdr:xfrm>
        <a:off x="1781175" y="5095875"/>
        <a:ext cx="5010150" cy="2486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229</xdr:row>
      <xdr:rowOff>19050</xdr:rowOff>
    </xdr:from>
    <xdr:to>
      <xdr:col>10</xdr:col>
      <xdr:colOff>66675</xdr:colOff>
      <xdr:row>356</xdr:row>
      <xdr:rowOff>0</xdr:rowOff>
    </xdr:to>
    <xdr:graphicFrame>
      <xdr:nvGraphicFramePr>
        <xdr:cNvPr id="11" name="Chart 94"/>
        <xdr:cNvGraphicFramePr/>
      </xdr:nvGraphicFramePr>
      <xdr:xfrm>
        <a:off x="542925" y="22755225"/>
        <a:ext cx="7534275" cy="3686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590550</xdr:colOff>
      <xdr:row>357</xdr:row>
      <xdr:rowOff>57150</xdr:rowOff>
    </xdr:from>
    <xdr:to>
      <xdr:col>9</xdr:col>
      <xdr:colOff>628650</xdr:colOff>
      <xdr:row>373</xdr:row>
      <xdr:rowOff>85725</xdr:rowOff>
    </xdr:to>
    <xdr:graphicFrame>
      <xdr:nvGraphicFramePr>
        <xdr:cNvPr id="12" name="Chart 101"/>
        <xdr:cNvGraphicFramePr/>
      </xdr:nvGraphicFramePr>
      <xdr:xfrm>
        <a:off x="4343400" y="26698575"/>
        <a:ext cx="3638550" cy="3800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6</xdr:row>
      <xdr:rowOff>0</xdr:rowOff>
    </xdr:from>
    <xdr:to>
      <xdr:col>10</xdr:col>
      <xdr:colOff>704850</xdr:colOff>
      <xdr:row>20</xdr:row>
      <xdr:rowOff>161925</xdr:rowOff>
    </xdr:to>
    <xdr:graphicFrame>
      <xdr:nvGraphicFramePr>
        <xdr:cNvPr id="1" name="Chart 10"/>
        <xdr:cNvGraphicFramePr/>
      </xdr:nvGraphicFramePr>
      <xdr:xfrm>
        <a:off x="5848350" y="1371600"/>
        <a:ext cx="28003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</xdr:row>
      <xdr:rowOff>180975</xdr:rowOff>
    </xdr:from>
    <xdr:to>
      <xdr:col>7</xdr:col>
      <xdr:colOff>95250</xdr:colOff>
      <xdr:row>20</xdr:row>
      <xdr:rowOff>142875</xdr:rowOff>
    </xdr:to>
    <xdr:graphicFrame>
      <xdr:nvGraphicFramePr>
        <xdr:cNvPr id="2" name="Chart 11"/>
        <xdr:cNvGraphicFramePr/>
      </xdr:nvGraphicFramePr>
      <xdr:xfrm>
        <a:off x="3000375" y="1362075"/>
        <a:ext cx="28384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9525</xdr:rowOff>
    </xdr:from>
    <xdr:to>
      <xdr:col>10</xdr:col>
      <xdr:colOff>628650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3143250" y="2619375"/>
        <a:ext cx="48577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9525</xdr:rowOff>
    </xdr:from>
    <xdr:to>
      <xdr:col>3</xdr:col>
      <xdr:colOff>28575</xdr:colOff>
      <xdr:row>60</xdr:row>
      <xdr:rowOff>28575</xdr:rowOff>
    </xdr:to>
    <xdr:graphicFrame>
      <xdr:nvGraphicFramePr>
        <xdr:cNvPr id="1" name="Chart 4"/>
        <xdr:cNvGraphicFramePr/>
      </xdr:nvGraphicFramePr>
      <xdr:xfrm>
        <a:off x="0" y="7496175"/>
        <a:ext cx="3933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47</xdr:row>
      <xdr:rowOff>9525</xdr:rowOff>
    </xdr:from>
    <xdr:to>
      <xdr:col>10</xdr:col>
      <xdr:colOff>0</xdr:colOff>
      <xdr:row>60</xdr:row>
      <xdr:rowOff>9525</xdr:rowOff>
    </xdr:to>
    <xdr:graphicFrame>
      <xdr:nvGraphicFramePr>
        <xdr:cNvPr id="2" name="Chart 5"/>
        <xdr:cNvGraphicFramePr/>
      </xdr:nvGraphicFramePr>
      <xdr:xfrm>
        <a:off x="3914775" y="7496175"/>
        <a:ext cx="43243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28575</xdr:rowOff>
    </xdr:from>
    <xdr:to>
      <xdr:col>3</xdr:col>
      <xdr:colOff>38100</xdr:colOff>
      <xdr:row>74</xdr:row>
      <xdr:rowOff>9525</xdr:rowOff>
    </xdr:to>
    <xdr:graphicFrame>
      <xdr:nvGraphicFramePr>
        <xdr:cNvPr id="3" name="Chart 6"/>
        <xdr:cNvGraphicFramePr/>
      </xdr:nvGraphicFramePr>
      <xdr:xfrm>
        <a:off x="0" y="9496425"/>
        <a:ext cx="39433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</xdr:colOff>
      <xdr:row>60</xdr:row>
      <xdr:rowOff>9525</xdr:rowOff>
    </xdr:from>
    <xdr:to>
      <xdr:col>10</xdr:col>
      <xdr:colOff>0</xdr:colOff>
      <xdr:row>74</xdr:row>
      <xdr:rowOff>9525</xdr:rowOff>
    </xdr:to>
    <xdr:graphicFrame>
      <xdr:nvGraphicFramePr>
        <xdr:cNvPr id="4" name="Chart 7"/>
        <xdr:cNvGraphicFramePr/>
      </xdr:nvGraphicFramePr>
      <xdr:xfrm>
        <a:off x="3962400" y="9477375"/>
        <a:ext cx="42767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2219325</xdr:colOff>
      <xdr:row>45</xdr:row>
      <xdr:rowOff>123825</xdr:rowOff>
    </xdr:to>
    <xdr:graphicFrame>
      <xdr:nvGraphicFramePr>
        <xdr:cNvPr id="5" name="Chart 8"/>
        <xdr:cNvGraphicFramePr/>
      </xdr:nvGraphicFramePr>
      <xdr:xfrm>
        <a:off x="0" y="5353050"/>
        <a:ext cx="3895725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6.vml" /><Relationship Id="rId5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"/>
  <sheetViews>
    <sheetView workbookViewId="0" topLeftCell="A41">
      <selection activeCell="B125" sqref="B125"/>
    </sheetView>
  </sheetViews>
  <sheetFormatPr defaultColWidth="11.421875" defaultRowHeight="12"/>
  <cols>
    <col min="1" max="1" width="8.140625" style="1" customWidth="1"/>
    <col min="2" max="2" width="10.00390625" style="1" customWidth="1"/>
    <col min="3" max="3" width="13.57421875" style="1" customWidth="1"/>
    <col min="4" max="4" width="10.421875" style="1" customWidth="1"/>
    <col min="5" max="5" width="14.140625" style="1" customWidth="1"/>
    <col min="6" max="7" width="14.8515625" style="1" customWidth="1"/>
    <col min="8" max="8" width="11.140625" style="1" bestFit="1" customWidth="1"/>
    <col min="9" max="9" width="13.140625" style="1" customWidth="1"/>
    <col min="10" max="10" width="9.8515625" style="1" customWidth="1"/>
    <col min="11" max="11" width="11.00390625" style="1" customWidth="1"/>
    <col min="12" max="12" width="13.00390625" style="1" customWidth="1"/>
    <col min="13" max="13" width="11.00390625" style="1" customWidth="1"/>
    <col min="14" max="14" width="11.421875" style="1" bestFit="1" customWidth="1"/>
    <col min="15" max="16384" width="11.00390625" style="1" customWidth="1"/>
  </cols>
  <sheetData>
    <row r="1" spans="3:7" ht="13.5" thickBot="1">
      <c r="C1" s="20"/>
      <c r="D1" s="154"/>
      <c r="E1" s="158"/>
      <c r="F1" s="159" t="s">
        <v>71</v>
      </c>
      <c r="G1" s="160"/>
    </row>
    <row r="2" spans="3:7" ht="12.75">
      <c r="C2" s="20"/>
      <c r="D2" s="154"/>
      <c r="E2" s="154"/>
      <c r="F2" s="154"/>
      <c r="G2" s="154"/>
    </row>
    <row r="3" spans="2:6" ht="12.75">
      <c r="B3" s="20" t="s">
        <v>311</v>
      </c>
      <c r="C3" s="154"/>
      <c r="D3" s="154"/>
      <c r="E3" s="154"/>
      <c r="F3" s="154"/>
    </row>
    <row r="4" spans="2:7" ht="12.75">
      <c r="B4" s="1" t="s">
        <v>326</v>
      </c>
      <c r="C4" s="20"/>
      <c r="D4" s="154"/>
      <c r="E4" s="154"/>
      <c r="F4" s="154"/>
      <c r="G4" s="154"/>
    </row>
    <row r="5" spans="3:7" ht="18.75">
      <c r="C5" s="20" t="s">
        <v>190</v>
      </c>
      <c r="D5" s="154"/>
      <c r="E5" s="167" t="s">
        <v>192</v>
      </c>
      <c r="F5" s="154"/>
      <c r="G5" s="154"/>
    </row>
    <row r="6" spans="3:7" ht="19.5">
      <c r="C6" s="20" t="s">
        <v>191</v>
      </c>
      <c r="D6" s="154"/>
      <c r="E6" s="167" t="s">
        <v>193</v>
      </c>
      <c r="F6" s="154"/>
      <c r="G6" s="154"/>
    </row>
    <row r="7" spans="3:7" ht="12.75">
      <c r="C7" s="20" t="s">
        <v>194</v>
      </c>
      <c r="D7" s="154"/>
      <c r="E7" s="154"/>
      <c r="F7" s="154"/>
      <c r="G7" s="154"/>
    </row>
    <row r="8" spans="3:7" ht="13.5" thickBot="1">
      <c r="C8" s="20" t="s">
        <v>354</v>
      </c>
      <c r="D8" s="154"/>
      <c r="E8" s="154"/>
      <c r="F8" s="154"/>
      <c r="G8" s="154"/>
    </row>
    <row r="9" spans="2:8" ht="13.5" thickBot="1">
      <c r="B9" s="171" t="s">
        <v>365</v>
      </c>
      <c r="C9" s="50"/>
      <c r="D9" s="172"/>
      <c r="E9" s="170"/>
      <c r="F9" s="154"/>
      <c r="G9" s="175" t="s">
        <v>168</v>
      </c>
      <c r="H9" s="130">
        <f>C12*C13/4</f>
        <v>0.25</v>
      </c>
    </row>
    <row r="10" spans="2:7" ht="13.5" thickBot="1">
      <c r="B10" s="48"/>
      <c r="C10" s="168" t="s">
        <v>363</v>
      </c>
      <c r="D10" s="169" t="s">
        <v>364</v>
      </c>
      <c r="E10" s="170"/>
      <c r="F10" s="154"/>
      <c r="G10" s="154"/>
    </row>
    <row r="11" spans="2:6" ht="13.5" thickBot="1">
      <c r="B11" s="48"/>
      <c r="C11" s="168" t="s">
        <v>1</v>
      </c>
      <c r="D11" s="169" t="s">
        <v>2</v>
      </c>
      <c r="E11" s="174"/>
      <c r="F11" s="154"/>
    </row>
    <row r="12" spans="2:6" ht="13.5" thickBot="1">
      <c r="B12" s="176" t="s">
        <v>80</v>
      </c>
      <c r="C12" s="124">
        <v>1</v>
      </c>
      <c r="D12" s="124">
        <v>1</v>
      </c>
      <c r="E12" s="175" t="s">
        <v>367</v>
      </c>
      <c r="F12" s="170">
        <v>0.03</v>
      </c>
    </row>
    <row r="13" spans="2:6" ht="13.5" thickBot="1">
      <c r="B13" s="176" t="s">
        <v>81</v>
      </c>
      <c r="C13" s="124">
        <v>1</v>
      </c>
      <c r="D13" s="124">
        <v>1</v>
      </c>
      <c r="E13" s="175" t="s">
        <v>368</v>
      </c>
      <c r="F13" s="170">
        <v>0.1</v>
      </c>
    </row>
    <row r="14" spans="2:6" ht="13.5" thickBot="1">
      <c r="B14" s="176" t="s">
        <v>355</v>
      </c>
      <c r="C14" s="124">
        <v>0.1</v>
      </c>
      <c r="D14" s="124">
        <v>0.1</v>
      </c>
      <c r="E14" s="154"/>
      <c r="F14" s="154"/>
    </row>
    <row r="15" spans="2:6" ht="13.5" thickBot="1">
      <c r="B15" s="176" t="s">
        <v>356</v>
      </c>
      <c r="C15" s="124">
        <v>1</v>
      </c>
      <c r="D15" s="124">
        <v>1</v>
      </c>
      <c r="E15" s="154"/>
      <c r="F15" s="154"/>
    </row>
    <row r="16" spans="1:9" ht="15.75">
      <c r="A16" s="4" t="s">
        <v>18</v>
      </c>
      <c r="B16" s="4" t="s">
        <v>361</v>
      </c>
      <c r="C16" s="79" t="s">
        <v>357</v>
      </c>
      <c r="D16" s="79" t="s">
        <v>362</v>
      </c>
      <c r="E16" s="154" t="s">
        <v>358</v>
      </c>
      <c r="F16" s="154" t="s">
        <v>369</v>
      </c>
      <c r="G16" s="154" t="s">
        <v>366</v>
      </c>
      <c r="H16" s="154"/>
      <c r="I16" s="154"/>
    </row>
    <row r="17" spans="1:9" ht="15.75">
      <c r="A17" s="1">
        <v>0</v>
      </c>
      <c r="B17" s="39">
        <v>0</v>
      </c>
      <c r="C17" s="134">
        <f aca="true" t="shared" si="0" ref="C17:C48">$C$12*B17*(1-B17/$C$13)</f>
        <v>0</v>
      </c>
      <c r="D17" s="134">
        <v>0</v>
      </c>
      <c r="E17" s="154">
        <f aca="true" t="shared" si="1" ref="E17:E48">$D$15*$D$13*D17*(1-($D$15/$D$12)*D17)</f>
        <v>0</v>
      </c>
      <c r="F17" s="154">
        <f aca="true" t="shared" si="2" ref="F17:F48">$F$13*E17</f>
        <v>0</v>
      </c>
      <c r="G17" s="154">
        <f aca="true" t="shared" si="3" ref="G17:G48">$F$12*D17</f>
        <v>0</v>
      </c>
      <c r="H17" s="154"/>
      <c r="I17" s="154"/>
    </row>
    <row r="18" spans="1:8" ht="15.75">
      <c r="A18" s="1">
        <v>1</v>
      </c>
      <c r="B18" s="1">
        <v>0.01</v>
      </c>
      <c r="C18" s="134">
        <f t="shared" si="0"/>
        <v>0.0099</v>
      </c>
      <c r="D18" s="43">
        <v>0.01</v>
      </c>
      <c r="E18" s="154">
        <f t="shared" si="1"/>
        <v>0.0099</v>
      </c>
      <c r="F18" s="154">
        <f t="shared" si="2"/>
        <v>0.0009900000000000002</v>
      </c>
      <c r="G18" s="154">
        <f t="shared" si="3"/>
        <v>0.0003</v>
      </c>
      <c r="H18" s="154"/>
    </row>
    <row r="19" spans="1:8" ht="0.75" customHeight="1">
      <c r="A19" s="1">
        <v>2</v>
      </c>
      <c r="B19" s="1">
        <f aca="true" t="shared" si="4" ref="B19:B50">B18+0.01</f>
        <v>0.02</v>
      </c>
      <c r="C19" s="134">
        <f t="shared" si="0"/>
        <v>0.0196</v>
      </c>
      <c r="D19" s="43">
        <f aca="true" t="shared" si="5" ref="D19:D50">D18+0.01</f>
        <v>0.02</v>
      </c>
      <c r="E19" s="154">
        <f t="shared" si="1"/>
        <v>0.0196</v>
      </c>
      <c r="F19" s="154">
        <f t="shared" si="2"/>
        <v>0.00196</v>
      </c>
      <c r="G19" s="154">
        <f t="shared" si="3"/>
        <v>0.0006</v>
      </c>
      <c r="H19" s="154"/>
    </row>
    <row r="20" spans="1:8" ht="0.75" customHeight="1">
      <c r="A20" s="1">
        <v>3</v>
      </c>
      <c r="B20" s="39">
        <f t="shared" si="4"/>
        <v>0.03</v>
      </c>
      <c r="C20" s="134">
        <f t="shared" si="0"/>
        <v>0.029099999999999997</v>
      </c>
      <c r="D20" s="43">
        <f t="shared" si="5"/>
        <v>0.03</v>
      </c>
      <c r="E20" s="154">
        <f t="shared" si="1"/>
        <v>0.029099999999999997</v>
      </c>
      <c r="F20" s="154">
        <f t="shared" si="2"/>
        <v>0.00291</v>
      </c>
      <c r="G20" s="154">
        <f t="shared" si="3"/>
        <v>0.0009</v>
      </c>
      <c r="H20" s="154"/>
    </row>
    <row r="21" spans="1:8" ht="0.75" customHeight="1">
      <c r="A21" s="1">
        <v>4</v>
      </c>
      <c r="B21" s="39">
        <f t="shared" si="4"/>
        <v>0.04</v>
      </c>
      <c r="C21" s="134">
        <f t="shared" si="0"/>
        <v>0.0384</v>
      </c>
      <c r="D21" s="43">
        <f t="shared" si="5"/>
        <v>0.04</v>
      </c>
      <c r="E21" s="154">
        <f t="shared" si="1"/>
        <v>0.0384</v>
      </c>
      <c r="F21" s="154">
        <f t="shared" si="2"/>
        <v>0.0038399999999999997</v>
      </c>
      <c r="G21" s="154">
        <f t="shared" si="3"/>
        <v>0.0012</v>
      </c>
      <c r="H21" s="154"/>
    </row>
    <row r="22" spans="1:8" ht="0.75" customHeight="1">
      <c r="A22" s="1">
        <v>5</v>
      </c>
      <c r="B22" s="39">
        <f t="shared" si="4"/>
        <v>0.05</v>
      </c>
      <c r="C22" s="134">
        <f t="shared" si="0"/>
        <v>0.0475</v>
      </c>
      <c r="D22" s="43">
        <f t="shared" si="5"/>
        <v>0.05</v>
      </c>
      <c r="E22" s="154">
        <f t="shared" si="1"/>
        <v>0.0475</v>
      </c>
      <c r="F22" s="154">
        <f t="shared" si="2"/>
        <v>0.004750000000000001</v>
      </c>
      <c r="G22" s="154">
        <f t="shared" si="3"/>
        <v>0.0015</v>
      </c>
      <c r="H22" s="154"/>
    </row>
    <row r="23" spans="1:8" ht="0.75" customHeight="1">
      <c r="A23" s="1">
        <v>6</v>
      </c>
      <c r="B23" s="39">
        <f t="shared" si="4"/>
        <v>0.060000000000000005</v>
      </c>
      <c r="C23" s="134">
        <f t="shared" si="0"/>
        <v>0.0564</v>
      </c>
      <c r="D23" s="43">
        <f t="shared" si="5"/>
        <v>0.060000000000000005</v>
      </c>
      <c r="E23" s="154">
        <f t="shared" si="1"/>
        <v>0.0564</v>
      </c>
      <c r="F23" s="154">
        <f t="shared" si="2"/>
        <v>0.00564</v>
      </c>
      <c r="G23" s="154">
        <f t="shared" si="3"/>
        <v>0.0018000000000000002</v>
      </c>
      <c r="H23" s="154"/>
    </row>
    <row r="24" spans="1:8" ht="0.75" customHeight="1">
      <c r="A24" s="1">
        <v>7</v>
      </c>
      <c r="B24" s="39">
        <f t="shared" si="4"/>
        <v>0.07</v>
      </c>
      <c r="C24" s="134">
        <f t="shared" si="0"/>
        <v>0.0651</v>
      </c>
      <c r="D24" s="43">
        <f t="shared" si="5"/>
        <v>0.07</v>
      </c>
      <c r="E24" s="154">
        <f t="shared" si="1"/>
        <v>0.0651</v>
      </c>
      <c r="F24" s="154">
        <f t="shared" si="2"/>
        <v>0.006510000000000001</v>
      </c>
      <c r="G24" s="154">
        <f t="shared" si="3"/>
        <v>0.0021000000000000003</v>
      </c>
      <c r="H24" s="154"/>
    </row>
    <row r="25" spans="1:8" ht="0.75" customHeight="1">
      <c r="A25" s="1">
        <v>8</v>
      </c>
      <c r="B25" s="39">
        <f t="shared" si="4"/>
        <v>0.08</v>
      </c>
      <c r="C25" s="134">
        <f t="shared" si="0"/>
        <v>0.0736</v>
      </c>
      <c r="D25" s="43">
        <f t="shared" si="5"/>
        <v>0.08</v>
      </c>
      <c r="E25" s="154">
        <f t="shared" si="1"/>
        <v>0.0736</v>
      </c>
      <c r="F25" s="154">
        <f t="shared" si="2"/>
        <v>0.00736</v>
      </c>
      <c r="G25" s="154">
        <f t="shared" si="3"/>
        <v>0.0024</v>
      </c>
      <c r="H25" s="154"/>
    </row>
    <row r="26" spans="1:8" ht="0.75" customHeight="1">
      <c r="A26" s="1">
        <v>9</v>
      </c>
      <c r="B26" s="39">
        <f t="shared" si="4"/>
        <v>0.09</v>
      </c>
      <c r="C26" s="134">
        <f t="shared" si="0"/>
        <v>0.0819</v>
      </c>
      <c r="D26" s="43">
        <f t="shared" si="5"/>
        <v>0.09</v>
      </c>
      <c r="E26" s="154">
        <f t="shared" si="1"/>
        <v>0.0819</v>
      </c>
      <c r="F26" s="154">
        <f t="shared" si="2"/>
        <v>0.008190000000000001</v>
      </c>
      <c r="G26" s="154">
        <f t="shared" si="3"/>
        <v>0.0026999999999999997</v>
      </c>
      <c r="H26" s="154"/>
    </row>
    <row r="27" spans="1:8" ht="0.75" customHeight="1">
      <c r="A27" s="1">
        <v>10</v>
      </c>
      <c r="B27" s="39">
        <f t="shared" si="4"/>
        <v>0.09999999999999999</v>
      </c>
      <c r="C27" s="134">
        <f t="shared" si="0"/>
        <v>0.09</v>
      </c>
      <c r="D27" s="43">
        <f t="shared" si="5"/>
        <v>0.09999999999999999</v>
      </c>
      <c r="E27" s="154">
        <f t="shared" si="1"/>
        <v>0.09</v>
      </c>
      <c r="F27" s="154">
        <f t="shared" si="2"/>
        <v>0.009</v>
      </c>
      <c r="G27" s="154">
        <f t="shared" si="3"/>
        <v>0.0029999999999999996</v>
      </c>
      <c r="H27" s="154"/>
    </row>
    <row r="28" spans="1:8" ht="0.75" customHeight="1">
      <c r="A28" s="1">
        <v>11</v>
      </c>
      <c r="B28" s="39">
        <f t="shared" si="4"/>
        <v>0.10999999999999999</v>
      </c>
      <c r="C28" s="134">
        <f t="shared" si="0"/>
        <v>0.09789999999999999</v>
      </c>
      <c r="D28" s="43">
        <f t="shared" si="5"/>
        <v>0.10999999999999999</v>
      </c>
      <c r="E28" s="154">
        <f t="shared" si="1"/>
        <v>0.09789999999999999</v>
      </c>
      <c r="F28" s="154">
        <f t="shared" si="2"/>
        <v>0.00979</v>
      </c>
      <c r="G28" s="154">
        <f t="shared" si="3"/>
        <v>0.0032999999999999995</v>
      </c>
      <c r="H28" s="154"/>
    </row>
    <row r="29" spans="1:8" ht="0.75" customHeight="1">
      <c r="A29" s="1">
        <v>12</v>
      </c>
      <c r="B29" s="39">
        <f t="shared" si="4"/>
        <v>0.11999999999999998</v>
      </c>
      <c r="C29" s="134">
        <f t="shared" si="0"/>
        <v>0.10559999999999999</v>
      </c>
      <c r="D29" s="43">
        <f t="shared" si="5"/>
        <v>0.11999999999999998</v>
      </c>
      <c r="E29" s="154">
        <f t="shared" si="1"/>
        <v>0.10559999999999999</v>
      </c>
      <c r="F29" s="154">
        <f t="shared" si="2"/>
        <v>0.01056</v>
      </c>
      <c r="G29" s="154">
        <f t="shared" si="3"/>
        <v>0.0035999999999999995</v>
      </c>
      <c r="H29" s="154"/>
    </row>
    <row r="30" spans="1:8" ht="0.75" customHeight="1">
      <c r="A30" s="1">
        <v>13</v>
      </c>
      <c r="B30" s="39">
        <f t="shared" si="4"/>
        <v>0.12999999999999998</v>
      </c>
      <c r="C30" s="134">
        <f t="shared" si="0"/>
        <v>0.11309999999999998</v>
      </c>
      <c r="D30" s="43">
        <f t="shared" si="5"/>
        <v>0.12999999999999998</v>
      </c>
      <c r="E30" s="154">
        <f t="shared" si="1"/>
        <v>0.11309999999999998</v>
      </c>
      <c r="F30" s="154">
        <f t="shared" si="2"/>
        <v>0.011309999999999999</v>
      </c>
      <c r="G30" s="154">
        <f t="shared" si="3"/>
        <v>0.003899999999999999</v>
      </c>
      <c r="H30" s="154"/>
    </row>
    <row r="31" spans="1:8" ht="0.75" customHeight="1">
      <c r="A31" s="1">
        <v>14</v>
      </c>
      <c r="B31" s="39">
        <f t="shared" si="4"/>
        <v>0.13999999999999999</v>
      </c>
      <c r="C31" s="134">
        <f t="shared" si="0"/>
        <v>0.12039999999999998</v>
      </c>
      <c r="D31" s="43">
        <f t="shared" si="5"/>
        <v>0.13999999999999999</v>
      </c>
      <c r="E31" s="154">
        <f t="shared" si="1"/>
        <v>0.12039999999999998</v>
      </c>
      <c r="F31" s="154">
        <f t="shared" si="2"/>
        <v>0.012039999999999999</v>
      </c>
      <c r="G31" s="154">
        <f t="shared" si="3"/>
        <v>0.0042</v>
      </c>
      <c r="H31" s="154"/>
    </row>
    <row r="32" spans="1:8" ht="0.75" customHeight="1">
      <c r="A32" s="1">
        <v>15</v>
      </c>
      <c r="B32" s="39">
        <f t="shared" si="4"/>
        <v>0.15</v>
      </c>
      <c r="C32" s="134">
        <f t="shared" si="0"/>
        <v>0.1275</v>
      </c>
      <c r="D32" s="43">
        <f t="shared" si="5"/>
        <v>0.15</v>
      </c>
      <c r="E32" s="154">
        <f t="shared" si="1"/>
        <v>0.1275</v>
      </c>
      <c r="F32" s="154">
        <f t="shared" si="2"/>
        <v>0.012750000000000001</v>
      </c>
      <c r="G32" s="154">
        <f t="shared" si="3"/>
        <v>0.0045</v>
      </c>
      <c r="H32" s="154"/>
    </row>
    <row r="33" spans="1:8" ht="0.75" customHeight="1">
      <c r="A33" s="1">
        <v>16</v>
      </c>
      <c r="B33" s="39">
        <f t="shared" si="4"/>
        <v>0.16</v>
      </c>
      <c r="C33" s="134">
        <f t="shared" si="0"/>
        <v>0.1344</v>
      </c>
      <c r="D33" s="43">
        <f t="shared" si="5"/>
        <v>0.16</v>
      </c>
      <c r="E33" s="154">
        <f t="shared" si="1"/>
        <v>0.1344</v>
      </c>
      <c r="F33" s="154">
        <f t="shared" si="2"/>
        <v>0.01344</v>
      </c>
      <c r="G33" s="154">
        <f t="shared" si="3"/>
        <v>0.0048</v>
      </c>
      <c r="H33" s="154"/>
    </row>
    <row r="34" spans="1:8" ht="0.75" customHeight="1">
      <c r="A34" s="1">
        <v>17</v>
      </c>
      <c r="B34" s="39">
        <f t="shared" si="4"/>
        <v>0.17</v>
      </c>
      <c r="C34" s="134">
        <f t="shared" si="0"/>
        <v>0.1411</v>
      </c>
      <c r="D34" s="43">
        <f t="shared" si="5"/>
        <v>0.17</v>
      </c>
      <c r="E34" s="154">
        <f t="shared" si="1"/>
        <v>0.1411</v>
      </c>
      <c r="F34" s="154">
        <f t="shared" si="2"/>
        <v>0.014110000000000001</v>
      </c>
      <c r="G34" s="154">
        <f t="shared" si="3"/>
        <v>0.0051</v>
      </c>
      <c r="H34" s="154"/>
    </row>
    <row r="35" spans="1:8" ht="0.75" customHeight="1">
      <c r="A35" s="1">
        <v>18</v>
      </c>
      <c r="B35" s="39">
        <f t="shared" si="4"/>
        <v>0.18000000000000002</v>
      </c>
      <c r="C35" s="134">
        <f t="shared" si="0"/>
        <v>0.1476</v>
      </c>
      <c r="D35" s="43">
        <f t="shared" si="5"/>
        <v>0.18000000000000002</v>
      </c>
      <c r="E35" s="154">
        <f t="shared" si="1"/>
        <v>0.1476</v>
      </c>
      <c r="F35" s="154">
        <f t="shared" si="2"/>
        <v>0.014760000000000002</v>
      </c>
      <c r="G35" s="154">
        <f t="shared" si="3"/>
        <v>0.0054</v>
      </c>
      <c r="H35" s="154"/>
    </row>
    <row r="36" spans="1:8" ht="0.75" customHeight="1">
      <c r="A36" s="1">
        <v>19</v>
      </c>
      <c r="B36" s="39">
        <f t="shared" si="4"/>
        <v>0.19000000000000003</v>
      </c>
      <c r="C36" s="134">
        <f t="shared" si="0"/>
        <v>0.1539</v>
      </c>
      <c r="D36" s="43">
        <f t="shared" si="5"/>
        <v>0.19000000000000003</v>
      </c>
      <c r="E36" s="154">
        <f t="shared" si="1"/>
        <v>0.1539</v>
      </c>
      <c r="F36" s="154">
        <f t="shared" si="2"/>
        <v>0.015390000000000001</v>
      </c>
      <c r="G36" s="154">
        <f t="shared" si="3"/>
        <v>0.005700000000000001</v>
      </c>
      <c r="H36" s="154"/>
    </row>
    <row r="37" spans="1:8" ht="0.75" customHeight="1">
      <c r="A37" s="1">
        <v>20</v>
      </c>
      <c r="B37" s="39">
        <f t="shared" si="4"/>
        <v>0.20000000000000004</v>
      </c>
      <c r="C37" s="134">
        <f t="shared" si="0"/>
        <v>0.16000000000000003</v>
      </c>
      <c r="D37" s="43">
        <f t="shared" si="5"/>
        <v>0.20000000000000004</v>
      </c>
      <c r="E37" s="154">
        <f t="shared" si="1"/>
        <v>0.16000000000000003</v>
      </c>
      <c r="F37" s="154">
        <f t="shared" si="2"/>
        <v>0.016000000000000004</v>
      </c>
      <c r="G37" s="154">
        <f t="shared" si="3"/>
        <v>0.006000000000000001</v>
      </c>
      <c r="H37" s="154"/>
    </row>
    <row r="38" spans="1:8" ht="0.75" customHeight="1">
      <c r="A38" s="1">
        <v>21</v>
      </c>
      <c r="B38" s="39">
        <f t="shared" si="4"/>
        <v>0.21000000000000005</v>
      </c>
      <c r="C38" s="134">
        <f t="shared" si="0"/>
        <v>0.16590000000000002</v>
      </c>
      <c r="D38" s="43">
        <f t="shared" si="5"/>
        <v>0.21000000000000005</v>
      </c>
      <c r="E38" s="154">
        <f t="shared" si="1"/>
        <v>0.16590000000000002</v>
      </c>
      <c r="F38" s="154">
        <f t="shared" si="2"/>
        <v>0.016590000000000004</v>
      </c>
      <c r="G38" s="154">
        <f t="shared" si="3"/>
        <v>0.006300000000000001</v>
      </c>
      <c r="H38" s="154"/>
    </row>
    <row r="39" spans="1:8" ht="0.75" customHeight="1">
      <c r="A39" s="1">
        <v>22</v>
      </c>
      <c r="B39" s="39">
        <f t="shared" si="4"/>
        <v>0.22000000000000006</v>
      </c>
      <c r="C39" s="134">
        <f t="shared" si="0"/>
        <v>0.17160000000000003</v>
      </c>
      <c r="D39" s="43">
        <f t="shared" si="5"/>
        <v>0.22000000000000006</v>
      </c>
      <c r="E39" s="154">
        <f t="shared" si="1"/>
        <v>0.17160000000000003</v>
      </c>
      <c r="F39" s="154">
        <f t="shared" si="2"/>
        <v>0.017160000000000005</v>
      </c>
      <c r="G39" s="154">
        <f t="shared" si="3"/>
        <v>0.006600000000000002</v>
      </c>
      <c r="H39" s="154"/>
    </row>
    <row r="40" spans="1:8" ht="0.75" customHeight="1">
      <c r="A40" s="1">
        <v>23</v>
      </c>
      <c r="B40" s="39">
        <f t="shared" si="4"/>
        <v>0.23000000000000007</v>
      </c>
      <c r="C40" s="134">
        <f t="shared" si="0"/>
        <v>0.17710000000000004</v>
      </c>
      <c r="D40" s="43">
        <f t="shared" si="5"/>
        <v>0.23000000000000007</v>
      </c>
      <c r="E40" s="154">
        <f t="shared" si="1"/>
        <v>0.17710000000000004</v>
      </c>
      <c r="F40" s="154">
        <f t="shared" si="2"/>
        <v>0.017710000000000004</v>
      </c>
      <c r="G40" s="154">
        <f t="shared" si="3"/>
        <v>0.006900000000000002</v>
      </c>
      <c r="H40" s="154"/>
    </row>
    <row r="41" spans="1:8" ht="0.75" customHeight="1">
      <c r="A41" s="1">
        <v>24</v>
      </c>
      <c r="B41" s="39">
        <f t="shared" si="4"/>
        <v>0.24000000000000007</v>
      </c>
      <c r="C41" s="134">
        <f t="shared" si="0"/>
        <v>0.18240000000000003</v>
      </c>
      <c r="D41" s="43">
        <f t="shared" si="5"/>
        <v>0.24000000000000007</v>
      </c>
      <c r="E41" s="154">
        <f t="shared" si="1"/>
        <v>0.18240000000000003</v>
      </c>
      <c r="F41" s="154">
        <f t="shared" si="2"/>
        <v>0.018240000000000003</v>
      </c>
      <c r="G41" s="154">
        <f t="shared" si="3"/>
        <v>0.0072000000000000015</v>
      </c>
      <c r="H41" s="154"/>
    </row>
    <row r="42" spans="1:8" ht="0.75" customHeight="1">
      <c r="A42" s="1">
        <v>25</v>
      </c>
      <c r="B42" s="39">
        <f t="shared" si="4"/>
        <v>0.25000000000000006</v>
      </c>
      <c r="C42" s="134">
        <f t="shared" si="0"/>
        <v>0.18750000000000006</v>
      </c>
      <c r="D42" s="43">
        <f t="shared" si="5"/>
        <v>0.25000000000000006</v>
      </c>
      <c r="E42" s="154">
        <f t="shared" si="1"/>
        <v>0.18750000000000006</v>
      </c>
      <c r="F42" s="154">
        <f t="shared" si="2"/>
        <v>0.018750000000000006</v>
      </c>
      <c r="G42" s="154">
        <f t="shared" si="3"/>
        <v>0.0075000000000000015</v>
      </c>
      <c r="H42" s="154"/>
    </row>
    <row r="43" spans="1:8" ht="0.75" customHeight="1">
      <c r="A43" s="1">
        <v>26</v>
      </c>
      <c r="B43" s="39">
        <f t="shared" si="4"/>
        <v>0.26000000000000006</v>
      </c>
      <c r="C43" s="134">
        <f t="shared" si="0"/>
        <v>0.19240000000000004</v>
      </c>
      <c r="D43" s="43">
        <f t="shared" si="5"/>
        <v>0.26000000000000006</v>
      </c>
      <c r="E43" s="154">
        <f t="shared" si="1"/>
        <v>0.19240000000000004</v>
      </c>
      <c r="F43" s="154">
        <f t="shared" si="2"/>
        <v>0.019240000000000007</v>
      </c>
      <c r="G43" s="154">
        <f t="shared" si="3"/>
        <v>0.007800000000000001</v>
      </c>
      <c r="H43" s="154"/>
    </row>
    <row r="44" spans="1:8" ht="0.75" customHeight="1">
      <c r="A44" s="1">
        <v>27</v>
      </c>
      <c r="B44" s="39">
        <f t="shared" si="4"/>
        <v>0.2700000000000001</v>
      </c>
      <c r="C44" s="134">
        <f t="shared" si="0"/>
        <v>0.19710000000000005</v>
      </c>
      <c r="D44" s="43">
        <f t="shared" si="5"/>
        <v>0.2700000000000001</v>
      </c>
      <c r="E44" s="154">
        <f t="shared" si="1"/>
        <v>0.19710000000000005</v>
      </c>
      <c r="F44" s="154">
        <f t="shared" si="2"/>
        <v>0.019710000000000005</v>
      </c>
      <c r="G44" s="154">
        <f t="shared" si="3"/>
        <v>0.008100000000000001</v>
      </c>
      <c r="H44" s="154"/>
    </row>
    <row r="45" spans="1:8" ht="0.75" customHeight="1">
      <c r="A45" s="1">
        <v>28</v>
      </c>
      <c r="B45" s="39">
        <f t="shared" si="4"/>
        <v>0.2800000000000001</v>
      </c>
      <c r="C45" s="134">
        <f t="shared" si="0"/>
        <v>0.20160000000000006</v>
      </c>
      <c r="D45" s="43">
        <f t="shared" si="5"/>
        <v>0.2800000000000001</v>
      </c>
      <c r="E45" s="154">
        <f t="shared" si="1"/>
        <v>0.20160000000000006</v>
      </c>
      <c r="F45" s="154">
        <f t="shared" si="2"/>
        <v>0.020160000000000008</v>
      </c>
      <c r="G45" s="154">
        <f t="shared" si="3"/>
        <v>0.008400000000000003</v>
      </c>
      <c r="H45" s="154"/>
    </row>
    <row r="46" spans="1:8" ht="0.75" customHeight="1">
      <c r="A46" s="1">
        <v>29</v>
      </c>
      <c r="B46" s="39">
        <f t="shared" si="4"/>
        <v>0.2900000000000001</v>
      </c>
      <c r="C46" s="134">
        <f t="shared" si="0"/>
        <v>0.20590000000000006</v>
      </c>
      <c r="D46" s="43">
        <f t="shared" si="5"/>
        <v>0.2900000000000001</v>
      </c>
      <c r="E46" s="154">
        <f t="shared" si="1"/>
        <v>0.20590000000000006</v>
      </c>
      <c r="F46" s="154">
        <f t="shared" si="2"/>
        <v>0.020590000000000008</v>
      </c>
      <c r="G46" s="154">
        <f t="shared" si="3"/>
        <v>0.008700000000000003</v>
      </c>
      <c r="H46" s="154"/>
    </row>
    <row r="47" spans="1:8" ht="0.75" customHeight="1">
      <c r="A47" s="1">
        <v>30</v>
      </c>
      <c r="B47" s="39">
        <f t="shared" si="4"/>
        <v>0.3000000000000001</v>
      </c>
      <c r="C47" s="134">
        <f t="shared" si="0"/>
        <v>0.21000000000000005</v>
      </c>
      <c r="D47" s="43">
        <f t="shared" si="5"/>
        <v>0.3000000000000001</v>
      </c>
      <c r="E47" s="154">
        <f t="shared" si="1"/>
        <v>0.21000000000000005</v>
      </c>
      <c r="F47" s="154">
        <f t="shared" si="2"/>
        <v>0.021000000000000005</v>
      </c>
      <c r="G47" s="154">
        <f t="shared" si="3"/>
        <v>0.009000000000000003</v>
      </c>
      <c r="H47" s="154"/>
    </row>
    <row r="48" spans="1:8" ht="0.75" customHeight="1">
      <c r="A48" s="1">
        <v>31</v>
      </c>
      <c r="B48" s="39">
        <f t="shared" si="4"/>
        <v>0.3100000000000001</v>
      </c>
      <c r="C48" s="134">
        <f t="shared" si="0"/>
        <v>0.21390000000000006</v>
      </c>
      <c r="D48" s="43">
        <f t="shared" si="5"/>
        <v>0.3100000000000001</v>
      </c>
      <c r="E48" s="154">
        <f t="shared" si="1"/>
        <v>0.21390000000000006</v>
      </c>
      <c r="F48" s="154">
        <f t="shared" si="2"/>
        <v>0.021390000000000006</v>
      </c>
      <c r="G48" s="154">
        <f t="shared" si="3"/>
        <v>0.009300000000000003</v>
      </c>
      <c r="H48" s="154"/>
    </row>
    <row r="49" spans="1:8" ht="0.75" customHeight="1">
      <c r="A49" s="1">
        <v>32</v>
      </c>
      <c r="B49" s="39">
        <f t="shared" si="4"/>
        <v>0.3200000000000001</v>
      </c>
      <c r="C49" s="134">
        <f aca="true" t="shared" si="6" ref="C49:C80">$C$12*B49*(1-B49/$C$13)</f>
        <v>0.21760000000000007</v>
      </c>
      <c r="D49" s="43">
        <f t="shared" si="5"/>
        <v>0.3200000000000001</v>
      </c>
      <c r="E49" s="154">
        <f aca="true" t="shared" si="7" ref="E49:E80">$D$15*$D$13*D49*(1-($D$15/$D$12)*D49)</f>
        <v>0.21760000000000007</v>
      </c>
      <c r="F49" s="154">
        <f aca="true" t="shared" si="8" ref="F49:F80">$F$13*E49</f>
        <v>0.02176000000000001</v>
      </c>
      <c r="G49" s="154">
        <f aca="true" t="shared" si="9" ref="G49:G80">$F$12*D49</f>
        <v>0.009600000000000003</v>
      </c>
      <c r="H49" s="154"/>
    </row>
    <row r="50" spans="1:8" ht="0.75" customHeight="1">
      <c r="A50" s="1">
        <v>33</v>
      </c>
      <c r="B50" s="39">
        <f t="shared" si="4"/>
        <v>0.3300000000000001</v>
      </c>
      <c r="C50" s="134">
        <f t="shared" si="6"/>
        <v>0.22110000000000007</v>
      </c>
      <c r="D50" s="43">
        <f t="shared" si="5"/>
        <v>0.3300000000000001</v>
      </c>
      <c r="E50" s="154">
        <f t="shared" si="7"/>
        <v>0.22110000000000007</v>
      </c>
      <c r="F50" s="154">
        <f t="shared" si="8"/>
        <v>0.022110000000000008</v>
      </c>
      <c r="G50" s="154">
        <f t="shared" si="9"/>
        <v>0.009900000000000004</v>
      </c>
      <c r="H50" s="154"/>
    </row>
    <row r="51" spans="1:8" ht="0.75" customHeight="1">
      <c r="A51" s="1">
        <v>34</v>
      </c>
      <c r="B51" s="39">
        <f aca="true" t="shared" si="10" ref="B51:B82">B50+0.01</f>
        <v>0.34000000000000014</v>
      </c>
      <c r="C51" s="134">
        <f t="shared" si="6"/>
        <v>0.22440000000000007</v>
      </c>
      <c r="D51" s="43">
        <f aca="true" t="shared" si="11" ref="D51:D82">D50+0.01</f>
        <v>0.34000000000000014</v>
      </c>
      <c r="E51" s="154">
        <f t="shared" si="7"/>
        <v>0.22440000000000007</v>
      </c>
      <c r="F51" s="154">
        <f t="shared" si="8"/>
        <v>0.02244000000000001</v>
      </c>
      <c r="G51" s="154">
        <f t="shared" si="9"/>
        <v>0.010200000000000004</v>
      </c>
      <c r="H51" s="154"/>
    </row>
    <row r="52" spans="1:8" ht="0.75" customHeight="1">
      <c r="A52" s="1">
        <v>35</v>
      </c>
      <c r="B52" s="39">
        <f t="shared" si="10"/>
        <v>0.35000000000000014</v>
      </c>
      <c r="C52" s="134">
        <f t="shared" si="6"/>
        <v>0.22750000000000006</v>
      </c>
      <c r="D52" s="43">
        <f t="shared" si="11"/>
        <v>0.35000000000000014</v>
      </c>
      <c r="E52" s="154">
        <f t="shared" si="7"/>
        <v>0.22750000000000006</v>
      </c>
      <c r="F52" s="154">
        <f t="shared" si="8"/>
        <v>0.022750000000000006</v>
      </c>
      <c r="G52" s="154">
        <f t="shared" si="9"/>
        <v>0.010500000000000004</v>
      </c>
      <c r="H52" s="154"/>
    </row>
    <row r="53" spans="1:8" ht="0.75" customHeight="1">
      <c r="A53" s="1">
        <v>36</v>
      </c>
      <c r="B53" s="39">
        <f t="shared" si="10"/>
        <v>0.36000000000000015</v>
      </c>
      <c r="C53" s="134">
        <f t="shared" si="6"/>
        <v>0.23040000000000005</v>
      </c>
      <c r="D53" s="43">
        <f t="shared" si="11"/>
        <v>0.36000000000000015</v>
      </c>
      <c r="E53" s="154">
        <f t="shared" si="7"/>
        <v>0.23040000000000005</v>
      </c>
      <c r="F53" s="154">
        <f t="shared" si="8"/>
        <v>0.023040000000000005</v>
      </c>
      <c r="G53" s="154">
        <f t="shared" si="9"/>
        <v>0.010800000000000004</v>
      </c>
      <c r="H53" s="154"/>
    </row>
    <row r="54" spans="1:8" ht="0.75" customHeight="1">
      <c r="A54" s="1">
        <v>37</v>
      </c>
      <c r="B54" s="39">
        <f t="shared" si="10"/>
        <v>0.37000000000000016</v>
      </c>
      <c r="C54" s="134">
        <f t="shared" si="6"/>
        <v>0.23310000000000006</v>
      </c>
      <c r="D54" s="43">
        <f t="shared" si="11"/>
        <v>0.37000000000000016</v>
      </c>
      <c r="E54" s="154">
        <f t="shared" si="7"/>
        <v>0.23310000000000006</v>
      </c>
      <c r="F54" s="154">
        <f t="shared" si="8"/>
        <v>0.023310000000000008</v>
      </c>
      <c r="G54" s="154">
        <f t="shared" si="9"/>
        <v>0.011100000000000004</v>
      </c>
      <c r="H54" s="154"/>
    </row>
    <row r="55" spans="1:8" ht="0.75" customHeight="1">
      <c r="A55" s="1">
        <v>38</v>
      </c>
      <c r="B55" s="39">
        <f t="shared" si="10"/>
        <v>0.38000000000000017</v>
      </c>
      <c r="C55" s="134">
        <f t="shared" si="6"/>
        <v>0.23560000000000006</v>
      </c>
      <c r="D55" s="43">
        <f t="shared" si="11"/>
        <v>0.38000000000000017</v>
      </c>
      <c r="E55" s="154">
        <f t="shared" si="7"/>
        <v>0.23560000000000006</v>
      </c>
      <c r="F55" s="154">
        <f t="shared" si="8"/>
        <v>0.023560000000000008</v>
      </c>
      <c r="G55" s="154">
        <f t="shared" si="9"/>
        <v>0.011400000000000004</v>
      </c>
      <c r="H55" s="154"/>
    </row>
    <row r="56" spans="1:8" ht="0.75" customHeight="1">
      <c r="A56" s="1">
        <v>39</v>
      </c>
      <c r="B56" s="39">
        <f t="shared" si="10"/>
        <v>0.3900000000000002</v>
      </c>
      <c r="C56" s="134">
        <f t="shared" si="6"/>
        <v>0.23790000000000006</v>
      </c>
      <c r="D56" s="43">
        <f t="shared" si="11"/>
        <v>0.3900000000000002</v>
      </c>
      <c r="E56" s="154">
        <f t="shared" si="7"/>
        <v>0.23790000000000006</v>
      </c>
      <c r="F56" s="154">
        <f t="shared" si="8"/>
        <v>0.023790000000000006</v>
      </c>
      <c r="G56" s="154">
        <f t="shared" si="9"/>
        <v>0.011700000000000006</v>
      </c>
      <c r="H56" s="154"/>
    </row>
    <row r="57" spans="1:8" ht="0.75" customHeight="1">
      <c r="A57" s="1">
        <v>40</v>
      </c>
      <c r="B57" s="39">
        <f t="shared" si="10"/>
        <v>0.4000000000000002</v>
      </c>
      <c r="C57" s="134">
        <f t="shared" si="6"/>
        <v>0.24000000000000005</v>
      </c>
      <c r="D57" s="43">
        <f t="shared" si="11"/>
        <v>0.4000000000000002</v>
      </c>
      <c r="E57" s="154">
        <f t="shared" si="7"/>
        <v>0.24000000000000005</v>
      </c>
      <c r="F57" s="154">
        <f t="shared" si="8"/>
        <v>0.024000000000000007</v>
      </c>
      <c r="G57" s="154">
        <f t="shared" si="9"/>
        <v>0.012000000000000005</v>
      </c>
      <c r="H57" s="154"/>
    </row>
    <row r="58" spans="1:8" ht="0.75" customHeight="1">
      <c r="A58" s="1">
        <v>41</v>
      </c>
      <c r="B58" s="39">
        <f t="shared" si="10"/>
        <v>0.4100000000000002</v>
      </c>
      <c r="C58" s="134">
        <f t="shared" si="6"/>
        <v>0.24190000000000006</v>
      </c>
      <c r="D58" s="43">
        <f t="shared" si="11"/>
        <v>0.4100000000000002</v>
      </c>
      <c r="E58" s="154">
        <f t="shared" si="7"/>
        <v>0.24190000000000006</v>
      </c>
      <c r="F58" s="154">
        <f t="shared" si="8"/>
        <v>0.024190000000000007</v>
      </c>
      <c r="G58" s="154">
        <f t="shared" si="9"/>
        <v>0.012300000000000005</v>
      </c>
      <c r="H58" s="154"/>
    </row>
    <row r="59" spans="1:8" ht="0.75" customHeight="1">
      <c r="A59" s="1">
        <v>42</v>
      </c>
      <c r="B59" s="39">
        <f t="shared" si="10"/>
        <v>0.4200000000000002</v>
      </c>
      <c r="C59" s="134">
        <f t="shared" si="6"/>
        <v>0.24360000000000007</v>
      </c>
      <c r="D59" s="43">
        <f t="shared" si="11"/>
        <v>0.4200000000000002</v>
      </c>
      <c r="E59" s="154">
        <f t="shared" si="7"/>
        <v>0.24360000000000007</v>
      </c>
      <c r="F59" s="154">
        <f t="shared" si="8"/>
        <v>0.024360000000000007</v>
      </c>
      <c r="G59" s="154">
        <f t="shared" si="9"/>
        <v>0.012600000000000005</v>
      </c>
      <c r="H59" s="154"/>
    </row>
    <row r="60" spans="1:8" ht="0.75" customHeight="1">
      <c r="A60" s="1">
        <v>43</v>
      </c>
      <c r="B60" s="39">
        <f t="shared" si="10"/>
        <v>0.4300000000000002</v>
      </c>
      <c r="C60" s="134">
        <f t="shared" si="6"/>
        <v>0.24510000000000007</v>
      </c>
      <c r="D60" s="43">
        <f t="shared" si="11"/>
        <v>0.4300000000000002</v>
      </c>
      <c r="E60" s="154">
        <f t="shared" si="7"/>
        <v>0.24510000000000007</v>
      </c>
      <c r="F60" s="154">
        <f t="shared" si="8"/>
        <v>0.024510000000000007</v>
      </c>
      <c r="G60" s="154">
        <f t="shared" si="9"/>
        <v>0.012900000000000005</v>
      </c>
      <c r="H60" s="154"/>
    </row>
    <row r="61" spans="1:8" ht="0.75" customHeight="1">
      <c r="A61" s="1">
        <v>44</v>
      </c>
      <c r="B61" s="39">
        <f t="shared" si="10"/>
        <v>0.4400000000000002</v>
      </c>
      <c r="C61" s="134">
        <f t="shared" si="6"/>
        <v>0.24640000000000006</v>
      </c>
      <c r="D61" s="43">
        <f t="shared" si="11"/>
        <v>0.4400000000000002</v>
      </c>
      <c r="E61" s="154">
        <f t="shared" si="7"/>
        <v>0.24640000000000006</v>
      </c>
      <c r="F61" s="154">
        <f t="shared" si="8"/>
        <v>0.02464000000000001</v>
      </c>
      <c r="G61" s="154">
        <f t="shared" si="9"/>
        <v>0.013200000000000007</v>
      </c>
      <c r="H61" s="154"/>
    </row>
    <row r="62" spans="1:8" ht="0.75" customHeight="1">
      <c r="A62" s="1">
        <v>45</v>
      </c>
      <c r="B62" s="39">
        <f t="shared" si="10"/>
        <v>0.45000000000000023</v>
      </c>
      <c r="C62" s="134">
        <f t="shared" si="6"/>
        <v>0.24750000000000005</v>
      </c>
      <c r="D62" s="43">
        <f t="shared" si="11"/>
        <v>0.45000000000000023</v>
      </c>
      <c r="E62" s="154">
        <f t="shared" si="7"/>
        <v>0.24750000000000005</v>
      </c>
      <c r="F62" s="154">
        <f t="shared" si="8"/>
        <v>0.024750000000000008</v>
      </c>
      <c r="G62" s="154">
        <f t="shared" si="9"/>
        <v>0.013500000000000007</v>
      </c>
      <c r="H62" s="154"/>
    </row>
    <row r="63" spans="1:8" ht="0.75" customHeight="1">
      <c r="A63" s="1">
        <v>46</v>
      </c>
      <c r="B63" s="39">
        <f t="shared" si="10"/>
        <v>0.46000000000000024</v>
      </c>
      <c r="C63" s="134">
        <f t="shared" si="6"/>
        <v>0.24840000000000004</v>
      </c>
      <c r="D63" s="43">
        <f t="shared" si="11"/>
        <v>0.46000000000000024</v>
      </c>
      <c r="E63" s="154">
        <f t="shared" si="7"/>
        <v>0.24840000000000004</v>
      </c>
      <c r="F63" s="154">
        <f t="shared" si="8"/>
        <v>0.024840000000000004</v>
      </c>
      <c r="G63" s="154">
        <f t="shared" si="9"/>
        <v>0.013800000000000007</v>
      </c>
      <c r="H63" s="154"/>
    </row>
    <row r="64" spans="1:8" ht="0.75" customHeight="1">
      <c r="A64" s="1">
        <v>47</v>
      </c>
      <c r="B64" s="39">
        <f t="shared" si="10"/>
        <v>0.47000000000000025</v>
      </c>
      <c r="C64" s="134">
        <f t="shared" si="6"/>
        <v>0.24910000000000004</v>
      </c>
      <c r="D64" s="43">
        <f t="shared" si="11"/>
        <v>0.47000000000000025</v>
      </c>
      <c r="E64" s="154">
        <f t="shared" si="7"/>
        <v>0.24910000000000004</v>
      </c>
      <c r="F64" s="154">
        <f t="shared" si="8"/>
        <v>0.024910000000000005</v>
      </c>
      <c r="G64" s="154">
        <f t="shared" si="9"/>
        <v>0.014100000000000007</v>
      </c>
      <c r="H64" s="154"/>
    </row>
    <row r="65" spans="1:8" ht="0.75" customHeight="1">
      <c r="A65" s="1">
        <v>48</v>
      </c>
      <c r="B65" s="39">
        <f t="shared" si="10"/>
        <v>0.48000000000000026</v>
      </c>
      <c r="C65" s="134">
        <f t="shared" si="6"/>
        <v>0.24960000000000004</v>
      </c>
      <c r="D65" s="43">
        <f t="shared" si="11"/>
        <v>0.48000000000000026</v>
      </c>
      <c r="E65" s="154">
        <f t="shared" si="7"/>
        <v>0.24960000000000004</v>
      </c>
      <c r="F65" s="154">
        <f t="shared" si="8"/>
        <v>0.024960000000000006</v>
      </c>
      <c r="G65" s="154">
        <f t="shared" si="9"/>
        <v>0.014400000000000007</v>
      </c>
      <c r="H65" s="154"/>
    </row>
    <row r="66" spans="1:8" ht="0.75" customHeight="1">
      <c r="A66" s="1">
        <v>49</v>
      </c>
      <c r="B66" s="39">
        <f t="shared" si="10"/>
        <v>0.49000000000000027</v>
      </c>
      <c r="C66" s="134">
        <f t="shared" si="6"/>
        <v>0.24990000000000004</v>
      </c>
      <c r="D66" s="43">
        <f t="shared" si="11"/>
        <v>0.49000000000000027</v>
      </c>
      <c r="E66" s="154">
        <f t="shared" si="7"/>
        <v>0.24990000000000004</v>
      </c>
      <c r="F66" s="154">
        <f t="shared" si="8"/>
        <v>0.024990000000000005</v>
      </c>
      <c r="G66" s="154">
        <f t="shared" si="9"/>
        <v>0.014700000000000008</v>
      </c>
      <c r="H66" s="154"/>
    </row>
    <row r="67" spans="1:8" ht="0.75" customHeight="1">
      <c r="A67" s="1">
        <v>50</v>
      </c>
      <c r="B67" s="39">
        <f t="shared" si="10"/>
        <v>0.5000000000000002</v>
      </c>
      <c r="C67" s="134">
        <f t="shared" si="6"/>
        <v>0.25</v>
      </c>
      <c r="D67" s="43">
        <f t="shared" si="11"/>
        <v>0.5000000000000002</v>
      </c>
      <c r="E67" s="154">
        <f t="shared" si="7"/>
        <v>0.25</v>
      </c>
      <c r="F67" s="154">
        <f t="shared" si="8"/>
        <v>0.025</v>
      </c>
      <c r="G67" s="154">
        <f t="shared" si="9"/>
        <v>0.015000000000000006</v>
      </c>
      <c r="H67" s="154"/>
    </row>
    <row r="68" spans="1:8" ht="0.75" customHeight="1">
      <c r="A68" s="1">
        <v>51</v>
      </c>
      <c r="B68" s="39">
        <f t="shared" si="10"/>
        <v>0.5100000000000002</v>
      </c>
      <c r="C68" s="134">
        <f t="shared" si="6"/>
        <v>0.24989999999999998</v>
      </c>
      <c r="D68" s="43">
        <f t="shared" si="11"/>
        <v>0.5100000000000002</v>
      </c>
      <c r="E68" s="154">
        <f t="shared" si="7"/>
        <v>0.24989999999999998</v>
      </c>
      <c r="F68" s="154">
        <f t="shared" si="8"/>
        <v>0.02499</v>
      </c>
      <c r="G68" s="154">
        <f t="shared" si="9"/>
        <v>0.015300000000000006</v>
      </c>
      <c r="H68" s="154"/>
    </row>
    <row r="69" spans="1:8" ht="0.75" customHeight="1">
      <c r="A69" s="1">
        <v>52</v>
      </c>
      <c r="B69" s="39">
        <f t="shared" si="10"/>
        <v>0.5200000000000002</v>
      </c>
      <c r="C69" s="134">
        <f t="shared" si="6"/>
        <v>0.2496</v>
      </c>
      <c r="D69" s="43">
        <f t="shared" si="11"/>
        <v>0.5200000000000002</v>
      </c>
      <c r="E69" s="154">
        <f t="shared" si="7"/>
        <v>0.2496</v>
      </c>
      <c r="F69" s="154">
        <f t="shared" si="8"/>
        <v>0.02496</v>
      </c>
      <c r="G69" s="154">
        <f t="shared" si="9"/>
        <v>0.015600000000000006</v>
      </c>
      <c r="H69" s="154"/>
    </row>
    <row r="70" spans="1:8" ht="0.75" customHeight="1">
      <c r="A70" s="1">
        <v>53</v>
      </c>
      <c r="B70" s="39">
        <f t="shared" si="10"/>
        <v>0.5300000000000002</v>
      </c>
      <c r="C70" s="134">
        <f t="shared" si="6"/>
        <v>0.2491</v>
      </c>
      <c r="D70" s="43">
        <f t="shared" si="11"/>
        <v>0.5300000000000002</v>
      </c>
      <c r="E70" s="154">
        <f t="shared" si="7"/>
        <v>0.2491</v>
      </c>
      <c r="F70" s="154">
        <f t="shared" si="8"/>
        <v>0.02491</v>
      </c>
      <c r="G70" s="154">
        <f t="shared" si="9"/>
        <v>0.015900000000000008</v>
      </c>
      <c r="H70" s="154"/>
    </row>
    <row r="71" spans="1:8" ht="0.75" customHeight="1">
      <c r="A71" s="1">
        <v>54</v>
      </c>
      <c r="B71" s="39">
        <f t="shared" si="10"/>
        <v>0.5400000000000003</v>
      </c>
      <c r="C71" s="134">
        <f t="shared" si="6"/>
        <v>0.24839999999999998</v>
      </c>
      <c r="D71" s="43">
        <f t="shared" si="11"/>
        <v>0.5400000000000003</v>
      </c>
      <c r="E71" s="154">
        <f t="shared" si="7"/>
        <v>0.24839999999999998</v>
      </c>
      <c r="F71" s="154">
        <f t="shared" si="8"/>
        <v>0.02484</v>
      </c>
      <c r="G71" s="154">
        <f t="shared" si="9"/>
        <v>0.016200000000000006</v>
      </c>
      <c r="H71" s="154"/>
    </row>
    <row r="72" spans="1:8" ht="0.75" customHeight="1">
      <c r="A72" s="1">
        <v>55</v>
      </c>
      <c r="B72" s="39">
        <f t="shared" si="10"/>
        <v>0.5500000000000003</v>
      </c>
      <c r="C72" s="134">
        <f t="shared" si="6"/>
        <v>0.24749999999999997</v>
      </c>
      <c r="D72" s="43">
        <f t="shared" si="11"/>
        <v>0.5500000000000003</v>
      </c>
      <c r="E72" s="154">
        <f t="shared" si="7"/>
        <v>0.24749999999999997</v>
      </c>
      <c r="F72" s="154">
        <f t="shared" si="8"/>
        <v>0.024749999999999998</v>
      </c>
      <c r="G72" s="154">
        <f t="shared" si="9"/>
        <v>0.016500000000000008</v>
      </c>
      <c r="H72" s="154"/>
    </row>
    <row r="73" spans="1:8" ht="0.75" customHeight="1">
      <c r="A73" s="1">
        <v>56</v>
      </c>
      <c r="B73" s="39">
        <f t="shared" si="10"/>
        <v>0.5600000000000003</v>
      </c>
      <c r="C73" s="134">
        <f t="shared" si="6"/>
        <v>0.24639999999999998</v>
      </c>
      <c r="D73" s="43">
        <f t="shared" si="11"/>
        <v>0.5600000000000003</v>
      </c>
      <c r="E73" s="154">
        <f t="shared" si="7"/>
        <v>0.24639999999999998</v>
      </c>
      <c r="F73" s="154">
        <f t="shared" si="8"/>
        <v>0.02464</v>
      </c>
      <c r="G73" s="154">
        <f t="shared" si="9"/>
        <v>0.01680000000000001</v>
      </c>
      <c r="H73" s="154"/>
    </row>
    <row r="74" spans="1:8" ht="0.75" customHeight="1">
      <c r="A74" s="1">
        <v>57</v>
      </c>
      <c r="B74" s="39">
        <f t="shared" si="10"/>
        <v>0.5700000000000003</v>
      </c>
      <c r="C74" s="134">
        <f t="shared" si="6"/>
        <v>0.24509999999999996</v>
      </c>
      <c r="D74" s="43">
        <f t="shared" si="11"/>
        <v>0.5700000000000003</v>
      </c>
      <c r="E74" s="154">
        <f t="shared" si="7"/>
        <v>0.24509999999999996</v>
      </c>
      <c r="F74" s="154">
        <f t="shared" si="8"/>
        <v>0.024509999999999997</v>
      </c>
      <c r="G74" s="154">
        <f t="shared" si="9"/>
        <v>0.017100000000000008</v>
      </c>
      <c r="H74" s="154"/>
    </row>
    <row r="75" spans="1:8" ht="0.75" customHeight="1">
      <c r="A75" s="1">
        <v>58</v>
      </c>
      <c r="B75" s="39">
        <f t="shared" si="10"/>
        <v>0.5800000000000003</v>
      </c>
      <c r="C75" s="134">
        <f t="shared" si="6"/>
        <v>0.24359999999999996</v>
      </c>
      <c r="D75" s="43">
        <f t="shared" si="11"/>
        <v>0.5800000000000003</v>
      </c>
      <c r="E75" s="154">
        <f t="shared" si="7"/>
        <v>0.24359999999999996</v>
      </c>
      <c r="F75" s="154">
        <f t="shared" si="8"/>
        <v>0.024359999999999996</v>
      </c>
      <c r="G75" s="154">
        <f t="shared" si="9"/>
        <v>0.01740000000000001</v>
      </c>
      <c r="H75" s="154"/>
    </row>
    <row r="76" spans="1:8" ht="0.75" customHeight="1">
      <c r="A76" s="1">
        <v>59</v>
      </c>
      <c r="B76" s="39">
        <f t="shared" si="10"/>
        <v>0.5900000000000003</v>
      </c>
      <c r="C76" s="134">
        <f t="shared" si="6"/>
        <v>0.24189999999999995</v>
      </c>
      <c r="D76" s="43">
        <f t="shared" si="11"/>
        <v>0.5900000000000003</v>
      </c>
      <c r="E76" s="154">
        <f t="shared" si="7"/>
        <v>0.24189999999999995</v>
      </c>
      <c r="F76" s="154">
        <f t="shared" si="8"/>
        <v>0.024189999999999996</v>
      </c>
      <c r="G76" s="154">
        <f t="shared" si="9"/>
        <v>0.017700000000000007</v>
      </c>
      <c r="H76" s="154"/>
    </row>
    <row r="77" spans="1:8" ht="0.75" customHeight="1">
      <c r="A77" s="1">
        <v>60</v>
      </c>
      <c r="B77" s="39">
        <f t="shared" si="10"/>
        <v>0.6000000000000003</v>
      </c>
      <c r="C77" s="134">
        <f t="shared" si="6"/>
        <v>0.23999999999999994</v>
      </c>
      <c r="D77" s="43">
        <f t="shared" si="11"/>
        <v>0.6000000000000003</v>
      </c>
      <c r="E77" s="154">
        <f t="shared" si="7"/>
        <v>0.23999999999999994</v>
      </c>
      <c r="F77" s="154">
        <f t="shared" si="8"/>
        <v>0.023999999999999994</v>
      </c>
      <c r="G77" s="154">
        <f t="shared" si="9"/>
        <v>0.01800000000000001</v>
      </c>
      <c r="H77" s="154"/>
    </row>
    <row r="78" spans="1:8" ht="0.75" customHeight="1">
      <c r="A78" s="1">
        <v>61</v>
      </c>
      <c r="B78" s="39">
        <f t="shared" si="10"/>
        <v>0.6100000000000003</v>
      </c>
      <c r="C78" s="134">
        <f t="shared" si="6"/>
        <v>0.23789999999999992</v>
      </c>
      <c r="D78" s="43">
        <f t="shared" si="11"/>
        <v>0.6100000000000003</v>
      </c>
      <c r="E78" s="154">
        <f t="shared" si="7"/>
        <v>0.23789999999999992</v>
      </c>
      <c r="F78" s="154">
        <f t="shared" si="8"/>
        <v>0.02378999999999999</v>
      </c>
      <c r="G78" s="154">
        <f t="shared" si="9"/>
        <v>0.018300000000000007</v>
      </c>
      <c r="H78" s="154"/>
    </row>
    <row r="79" spans="1:8" ht="0.75" customHeight="1">
      <c r="A79" s="1">
        <v>62</v>
      </c>
      <c r="B79" s="39">
        <f t="shared" si="10"/>
        <v>0.6200000000000003</v>
      </c>
      <c r="C79" s="134">
        <f t="shared" si="6"/>
        <v>0.23559999999999992</v>
      </c>
      <c r="D79" s="43">
        <f t="shared" si="11"/>
        <v>0.6200000000000003</v>
      </c>
      <c r="E79" s="154">
        <f t="shared" si="7"/>
        <v>0.23559999999999992</v>
      </c>
      <c r="F79" s="154">
        <f t="shared" si="8"/>
        <v>0.023559999999999994</v>
      </c>
      <c r="G79" s="154">
        <f t="shared" si="9"/>
        <v>0.01860000000000001</v>
      </c>
      <c r="H79" s="154"/>
    </row>
    <row r="80" spans="1:8" ht="0.75" customHeight="1">
      <c r="A80" s="1">
        <v>63</v>
      </c>
      <c r="B80" s="39">
        <f t="shared" si="10"/>
        <v>0.6300000000000003</v>
      </c>
      <c r="C80" s="134">
        <f t="shared" si="6"/>
        <v>0.23309999999999992</v>
      </c>
      <c r="D80" s="43">
        <f t="shared" si="11"/>
        <v>0.6300000000000003</v>
      </c>
      <c r="E80" s="154">
        <f t="shared" si="7"/>
        <v>0.23309999999999992</v>
      </c>
      <c r="F80" s="154">
        <f t="shared" si="8"/>
        <v>0.023309999999999994</v>
      </c>
      <c r="G80" s="154">
        <f t="shared" si="9"/>
        <v>0.01890000000000001</v>
      </c>
      <c r="H80" s="154"/>
    </row>
    <row r="81" spans="1:8" ht="0.75" customHeight="1">
      <c r="A81" s="1">
        <v>64</v>
      </c>
      <c r="B81" s="39">
        <f t="shared" si="10"/>
        <v>0.6400000000000003</v>
      </c>
      <c r="C81" s="134">
        <f aca="true" t="shared" si="12" ref="C81:C112">$C$12*B81*(1-B81/$C$13)</f>
        <v>0.2303999999999999</v>
      </c>
      <c r="D81" s="43">
        <f t="shared" si="11"/>
        <v>0.6400000000000003</v>
      </c>
      <c r="E81" s="154">
        <f aca="true" t="shared" si="13" ref="E81:E112">$D$15*$D$13*D81*(1-($D$15/$D$12)*D81)</f>
        <v>0.2303999999999999</v>
      </c>
      <c r="F81" s="154">
        <f aca="true" t="shared" si="14" ref="F81:F112">$F$13*E81</f>
        <v>0.02303999999999999</v>
      </c>
      <c r="G81" s="154">
        <f aca="true" t="shared" si="15" ref="G81:G117">$F$12*D81</f>
        <v>0.01920000000000001</v>
      </c>
      <c r="H81" s="154"/>
    </row>
    <row r="82" spans="1:8" ht="0.75" customHeight="1">
      <c r="A82" s="1">
        <v>65</v>
      </c>
      <c r="B82" s="39">
        <f t="shared" si="10"/>
        <v>0.6500000000000004</v>
      </c>
      <c r="C82" s="134">
        <f t="shared" si="12"/>
        <v>0.2274999999999999</v>
      </c>
      <c r="D82" s="43">
        <f t="shared" si="11"/>
        <v>0.6500000000000004</v>
      </c>
      <c r="E82" s="154">
        <f t="shared" si="13"/>
        <v>0.2274999999999999</v>
      </c>
      <c r="F82" s="154">
        <f t="shared" si="14"/>
        <v>0.022749999999999992</v>
      </c>
      <c r="G82" s="154">
        <f t="shared" si="15"/>
        <v>0.01950000000000001</v>
      </c>
      <c r="H82" s="154"/>
    </row>
    <row r="83" spans="1:8" ht="0.75" customHeight="1">
      <c r="A83" s="1">
        <v>66</v>
      </c>
      <c r="B83" s="39">
        <f aca="true" t="shared" si="16" ref="B83:B117">B82+0.01</f>
        <v>0.6600000000000004</v>
      </c>
      <c r="C83" s="134">
        <f t="shared" si="12"/>
        <v>0.22439999999999988</v>
      </c>
      <c r="D83" s="43">
        <f aca="true" t="shared" si="17" ref="D83:D117">D82+0.01</f>
        <v>0.6600000000000004</v>
      </c>
      <c r="E83" s="154">
        <f t="shared" si="13"/>
        <v>0.22439999999999988</v>
      </c>
      <c r="F83" s="154">
        <f t="shared" si="14"/>
        <v>0.022439999999999988</v>
      </c>
      <c r="G83" s="154">
        <f t="shared" si="15"/>
        <v>0.01980000000000001</v>
      </c>
      <c r="H83" s="154"/>
    </row>
    <row r="84" spans="1:8" ht="0.75" customHeight="1">
      <c r="A84" s="1">
        <v>67</v>
      </c>
      <c r="B84" s="39">
        <f t="shared" si="16"/>
        <v>0.6700000000000004</v>
      </c>
      <c r="C84" s="134">
        <f t="shared" si="12"/>
        <v>0.22109999999999988</v>
      </c>
      <c r="D84" s="43">
        <f t="shared" si="17"/>
        <v>0.6700000000000004</v>
      </c>
      <c r="E84" s="154">
        <f t="shared" si="13"/>
        <v>0.22109999999999988</v>
      </c>
      <c r="F84" s="154">
        <f t="shared" si="14"/>
        <v>0.02210999999999999</v>
      </c>
      <c r="G84" s="154">
        <f t="shared" si="15"/>
        <v>0.02010000000000001</v>
      </c>
      <c r="H84" s="154"/>
    </row>
    <row r="85" spans="1:8" ht="0.75" customHeight="1">
      <c r="A85" s="1">
        <v>68</v>
      </c>
      <c r="B85" s="39">
        <f t="shared" si="16"/>
        <v>0.6800000000000004</v>
      </c>
      <c r="C85" s="134">
        <f t="shared" si="12"/>
        <v>0.21759999999999985</v>
      </c>
      <c r="D85" s="43">
        <f t="shared" si="17"/>
        <v>0.6800000000000004</v>
      </c>
      <c r="E85" s="154">
        <f t="shared" si="13"/>
        <v>0.21759999999999985</v>
      </c>
      <c r="F85" s="154">
        <f t="shared" si="14"/>
        <v>0.021759999999999988</v>
      </c>
      <c r="G85" s="154">
        <f t="shared" si="15"/>
        <v>0.020400000000000012</v>
      </c>
      <c r="H85" s="154"/>
    </row>
    <row r="86" spans="1:8" ht="0.75" customHeight="1">
      <c r="A86" s="1">
        <v>69</v>
      </c>
      <c r="B86" s="39">
        <f t="shared" si="16"/>
        <v>0.6900000000000004</v>
      </c>
      <c r="C86" s="134">
        <f t="shared" si="12"/>
        <v>0.21389999999999984</v>
      </c>
      <c r="D86" s="43">
        <f t="shared" si="17"/>
        <v>0.6900000000000004</v>
      </c>
      <c r="E86" s="154">
        <f t="shared" si="13"/>
        <v>0.21389999999999984</v>
      </c>
      <c r="F86" s="154">
        <f t="shared" si="14"/>
        <v>0.021389999999999985</v>
      </c>
      <c r="G86" s="154">
        <f t="shared" si="15"/>
        <v>0.02070000000000001</v>
      </c>
      <c r="H86" s="154"/>
    </row>
    <row r="87" spans="1:8" ht="0.75" customHeight="1">
      <c r="A87" s="1">
        <v>70</v>
      </c>
      <c r="B87" s="39">
        <f t="shared" si="16"/>
        <v>0.7000000000000004</v>
      </c>
      <c r="C87" s="134">
        <f t="shared" si="12"/>
        <v>0.20999999999999985</v>
      </c>
      <c r="D87" s="43">
        <f t="shared" si="17"/>
        <v>0.7000000000000004</v>
      </c>
      <c r="E87" s="154">
        <f t="shared" si="13"/>
        <v>0.20999999999999985</v>
      </c>
      <c r="F87" s="154">
        <f t="shared" si="14"/>
        <v>0.020999999999999987</v>
      </c>
      <c r="G87" s="154">
        <f t="shared" si="15"/>
        <v>0.02100000000000001</v>
      </c>
      <c r="H87" s="154"/>
    </row>
    <row r="88" spans="1:8" ht="0.75" customHeight="1">
      <c r="A88" s="1">
        <v>71</v>
      </c>
      <c r="B88" s="39">
        <f t="shared" si="16"/>
        <v>0.7100000000000004</v>
      </c>
      <c r="C88" s="134">
        <f t="shared" si="12"/>
        <v>0.20589999999999983</v>
      </c>
      <c r="D88" s="43">
        <f t="shared" si="17"/>
        <v>0.7100000000000004</v>
      </c>
      <c r="E88" s="154">
        <f t="shared" si="13"/>
        <v>0.20589999999999983</v>
      </c>
      <c r="F88" s="154">
        <f t="shared" si="14"/>
        <v>0.020589999999999983</v>
      </c>
      <c r="G88" s="154">
        <f t="shared" si="15"/>
        <v>0.02130000000000001</v>
      </c>
      <c r="H88" s="154"/>
    </row>
    <row r="89" spans="1:8" ht="0.75" customHeight="1">
      <c r="A89" s="1">
        <v>72</v>
      </c>
      <c r="B89" s="39">
        <f t="shared" si="16"/>
        <v>0.7200000000000004</v>
      </c>
      <c r="C89" s="134">
        <f t="shared" si="12"/>
        <v>0.2015999999999998</v>
      </c>
      <c r="D89" s="43">
        <f t="shared" si="17"/>
        <v>0.7200000000000004</v>
      </c>
      <c r="E89" s="154">
        <f t="shared" si="13"/>
        <v>0.2015999999999998</v>
      </c>
      <c r="F89" s="154">
        <f t="shared" si="14"/>
        <v>0.020159999999999983</v>
      </c>
      <c r="G89" s="154">
        <f t="shared" si="15"/>
        <v>0.02160000000000001</v>
      </c>
      <c r="H89" s="154"/>
    </row>
    <row r="90" spans="1:8" ht="0.75" customHeight="1">
      <c r="A90" s="1">
        <v>73</v>
      </c>
      <c r="B90" s="39">
        <f t="shared" si="16"/>
        <v>0.7300000000000004</v>
      </c>
      <c r="C90" s="134">
        <f t="shared" si="12"/>
        <v>0.1970999999999998</v>
      </c>
      <c r="D90" s="43">
        <f t="shared" si="17"/>
        <v>0.7300000000000004</v>
      </c>
      <c r="E90" s="154">
        <f t="shared" si="13"/>
        <v>0.1970999999999998</v>
      </c>
      <c r="F90" s="154">
        <f t="shared" si="14"/>
        <v>0.01970999999999998</v>
      </c>
      <c r="G90" s="154">
        <f t="shared" si="15"/>
        <v>0.021900000000000013</v>
      </c>
      <c r="H90" s="154"/>
    </row>
    <row r="91" spans="1:8" ht="0.75" customHeight="1">
      <c r="A91" s="1">
        <v>74</v>
      </c>
      <c r="B91" s="39">
        <f t="shared" si="16"/>
        <v>0.7400000000000004</v>
      </c>
      <c r="C91" s="134">
        <f t="shared" si="12"/>
        <v>0.1923999999999998</v>
      </c>
      <c r="D91" s="43">
        <f t="shared" si="17"/>
        <v>0.7400000000000004</v>
      </c>
      <c r="E91" s="154">
        <f t="shared" si="13"/>
        <v>0.1923999999999998</v>
      </c>
      <c r="F91" s="154">
        <f t="shared" si="14"/>
        <v>0.01923999999999998</v>
      </c>
      <c r="G91" s="154">
        <f t="shared" si="15"/>
        <v>0.02220000000000001</v>
      </c>
      <c r="H91" s="154"/>
    </row>
    <row r="92" spans="1:8" ht="0.75" customHeight="1">
      <c r="A92" s="1">
        <v>75</v>
      </c>
      <c r="B92" s="39">
        <f t="shared" si="16"/>
        <v>0.7500000000000004</v>
      </c>
      <c r="C92" s="134">
        <f t="shared" si="12"/>
        <v>0.18749999999999978</v>
      </c>
      <c r="D92" s="43">
        <f t="shared" si="17"/>
        <v>0.7500000000000004</v>
      </c>
      <c r="E92" s="154">
        <f t="shared" si="13"/>
        <v>0.18749999999999978</v>
      </c>
      <c r="F92" s="154">
        <f t="shared" si="14"/>
        <v>0.01874999999999998</v>
      </c>
      <c r="G92" s="154">
        <f t="shared" si="15"/>
        <v>0.022500000000000013</v>
      </c>
      <c r="H92" s="154"/>
    </row>
    <row r="93" spans="1:8" ht="0.75" customHeight="1">
      <c r="A93" s="1">
        <v>76</v>
      </c>
      <c r="B93" s="39">
        <f t="shared" si="16"/>
        <v>0.7600000000000005</v>
      </c>
      <c r="C93" s="134">
        <f t="shared" si="12"/>
        <v>0.18239999999999976</v>
      </c>
      <c r="D93" s="43">
        <f t="shared" si="17"/>
        <v>0.7600000000000005</v>
      </c>
      <c r="E93" s="154">
        <f t="shared" si="13"/>
        <v>0.18239999999999976</v>
      </c>
      <c r="F93" s="154">
        <f t="shared" si="14"/>
        <v>0.018239999999999975</v>
      </c>
      <c r="G93" s="154">
        <f t="shared" si="15"/>
        <v>0.02280000000000001</v>
      </c>
      <c r="H93" s="154"/>
    </row>
    <row r="94" spans="1:8" ht="0.75" customHeight="1">
      <c r="A94" s="1">
        <v>77</v>
      </c>
      <c r="B94" s="39">
        <f t="shared" si="16"/>
        <v>0.7700000000000005</v>
      </c>
      <c r="C94" s="134">
        <f t="shared" si="12"/>
        <v>0.17709999999999976</v>
      </c>
      <c r="D94" s="43">
        <f t="shared" si="17"/>
        <v>0.7700000000000005</v>
      </c>
      <c r="E94" s="154">
        <f t="shared" si="13"/>
        <v>0.17709999999999976</v>
      </c>
      <c r="F94" s="154">
        <f t="shared" si="14"/>
        <v>0.017709999999999976</v>
      </c>
      <c r="G94" s="154">
        <f t="shared" si="15"/>
        <v>0.023100000000000013</v>
      </c>
      <c r="H94" s="154"/>
    </row>
    <row r="95" spans="1:8" ht="0.75" customHeight="1">
      <c r="A95" s="1">
        <v>78</v>
      </c>
      <c r="B95" s="39">
        <f t="shared" si="16"/>
        <v>0.7800000000000005</v>
      </c>
      <c r="C95" s="134">
        <f t="shared" si="12"/>
        <v>0.17159999999999972</v>
      </c>
      <c r="D95" s="43">
        <f t="shared" si="17"/>
        <v>0.7800000000000005</v>
      </c>
      <c r="E95" s="154">
        <f t="shared" si="13"/>
        <v>0.17159999999999972</v>
      </c>
      <c r="F95" s="154">
        <f t="shared" si="14"/>
        <v>0.017159999999999974</v>
      </c>
      <c r="G95" s="154">
        <f t="shared" si="15"/>
        <v>0.023400000000000015</v>
      </c>
      <c r="H95" s="154"/>
    </row>
    <row r="96" spans="1:8" ht="0.75" customHeight="1">
      <c r="A96" s="1">
        <v>79</v>
      </c>
      <c r="B96" s="39">
        <f t="shared" si="16"/>
        <v>0.7900000000000005</v>
      </c>
      <c r="C96" s="134">
        <f t="shared" si="12"/>
        <v>0.16589999999999971</v>
      </c>
      <c r="D96" s="43">
        <f t="shared" si="17"/>
        <v>0.7900000000000005</v>
      </c>
      <c r="E96" s="154">
        <f t="shared" si="13"/>
        <v>0.16589999999999971</v>
      </c>
      <c r="F96" s="154">
        <f t="shared" si="14"/>
        <v>0.016589999999999973</v>
      </c>
      <c r="G96" s="154">
        <f t="shared" si="15"/>
        <v>0.023700000000000013</v>
      </c>
      <c r="H96" s="154"/>
    </row>
    <row r="97" spans="1:8" ht="0.75" customHeight="1">
      <c r="A97" s="1">
        <v>80</v>
      </c>
      <c r="B97" s="39">
        <f t="shared" si="16"/>
        <v>0.8000000000000005</v>
      </c>
      <c r="C97" s="134">
        <f t="shared" si="12"/>
        <v>0.1599999999999997</v>
      </c>
      <c r="D97" s="43">
        <f t="shared" si="17"/>
        <v>0.8000000000000005</v>
      </c>
      <c r="E97" s="154">
        <f t="shared" si="13"/>
        <v>0.1599999999999997</v>
      </c>
      <c r="F97" s="154">
        <f t="shared" si="14"/>
        <v>0.01599999999999997</v>
      </c>
      <c r="G97" s="154">
        <f t="shared" si="15"/>
        <v>0.024000000000000014</v>
      </c>
      <c r="H97" s="154"/>
    </row>
    <row r="98" spans="1:8" ht="0.75" customHeight="1">
      <c r="A98" s="1">
        <v>81</v>
      </c>
      <c r="B98" s="39">
        <f t="shared" si="16"/>
        <v>0.8100000000000005</v>
      </c>
      <c r="C98" s="134">
        <f t="shared" si="12"/>
        <v>0.1538999999999997</v>
      </c>
      <c r="D98" s="43">
        <f t="shared" si="17"/>
        <v>0.8100000000000005</v>
      </c>
      <c r="E98" s="154">
        <f t="shared" si="13"/>
        <v>0.1538999999999997</v>
      </c>
      <c r="F98" s="154">
        <f t="shared" si="14"/>
        <v>0.015389999999999971</v>
      </c>
      <c r="G98" s="154">
        <f t="shared" si="15"/>
        <v>0.024300000000000013</v>
      </c>
      <c r="H98" s="154"/>
    </row>
    <row r="99" spans="1:8" ht="0.75" customHeight="1">
      <c r="A99" s="1">
        <v>82</v>
      </c>
      <c r="B99" s="39">
        <f t="shared" si="16"/>
        <v>0.8200000000000005</v>
      </c>
      <c r="C99" s="134">
        <f t="shared" si="12"/>
        <v>0.14759999999999968</v>
      </c>
      <c r="D99" s="43">
        <f t="shared" si="17"/>
        <v>0.8200000000000005</v>
      </c>
      <c r="E99" s="154">
        <f t="shared" si="13"/>
        <v>0.14759999999999968</v>
      </c>
      <c r="F99" s="154">
        <f t="shared" si="14"/>
        <v>0.014759999999999968</v>
      </c>
      <c r="G99" s="154">
        <f t="shared" si="15"/>
        <v>0.024600000000000014</v>
      </c>
      <c r="H99" s="154"/>
    </row>
    <row r="100" spans="1:8" ht="0.75" customHeight="1">
      <c r="A100" s="1">
        <v>83</v>
      </c>
      <c r="B100" s="39">
        <f t="shared" si="16"/>
        <v>0.8300000000000005</v>
      </c>
      <c r="C100" s="134">
        <f t="shared" si="12"/>
        <v>0.14109999999999967</v>
      </c>
      <c r="D100" s="43">
        <f t="shared" si="17"/>
        <v>0.8300000000000005</v>
      </c>
      <c r="E100" s="154">
        <f t="shared" si="13"/>
        <v>0.14109999999999967</v>
      </c>
      <c r="F100" s="154">
        <f t="shared" si="14"/>
        <v>0.014109999999999968</v>
      </c>
      <c r="G100" s="154">
        <f t="shared" si="15"/>
        <v>0.024900000000000016</v>
      </c>
      <c r="H100" s="154"/>
    </row>
    <row r="101" spans="1:8" ht="0.75" customHeight="1">
      <c r="A101" s="1">
        <v>84</v>
      </c>
      <c r="B101" s="39">
        <f t="shared" si="16"/>
        <v>0.8400000000000005</v>
      </c>
      <c r="C101" s="134">
        <f t="shared" si="12"/>
        <v>0.13439999999999963</v>
      </c>
      <c r="D101" s="43">
        <f t="shared" si="17"/>
        <v>0.8400000000000005</v>
      </c>
      <c r="E101" s="154">
        <f t="shared" si="13"/>
        <v>0.13439999999999963</v>
      </c>
      <c r="F101" s="154">
        <f t="shared" si="14"/>
        <v>0.013439999999999964</v>
      </c>
      <c r="G101" s="154">
        <f t="shared" si="15"/>
        <v>0.025200000000000014</v>
      </c>
      <c r="H101" s="154"/>
    </row>
    <row r="102" spans="1:8" ht="0.75" customHeight="1">
      <c r="A102" s="1">
        <v>85</v>
      </c>
      <c r="B102" s="39">
        <f t="shared" si="16"/>
        <v>0.8500000000000005</v>
      </c>
      <c r="C102" s="134">
        <f t="shared" si="12"/>
        <v>0.1274999999999996</v>
      </c>
      <c r="D102" s="43">
        <f t="shared" si="17"/>
        <v>0.8500000000000005</v>
      </c>
      <c r="E102" s="154">
        <f t="shared" si="13"/>
        <v>0.1274999999999996</v>
      </c>
      <c r="F102" s="154">
        <f t="shared" si="14"/>
        <v>0.012749999999999963</v>
      </c>
      <c r="G102" s="154">
        <f t="shared" si="15"/>
        <v>0.025500000000000016</v>
      </c>
      <c r="H102" s="154"/>
    </row>
    <row r="103" spans="1:8" ht="0.75" customHeight="1">
      <c r="A103" s="1">
        <v>86</v>
      </c>
      <c r="B103" s="39">
        <f t="shared" si="16"/>
        <v>0.8600000000000005</v>
      </c>
      <c r="C103" s="134">
        <f t="shared" si="12"/>
        <v>0.1203999999999996</v>
      </c>
      <c r="D103" s="43">
        <f t="shared" si="17"/>
        <v>0.8600000000000005</v>
      </c>
      <c r="E103" s="154">
        <f t="shared" si="13"/>
        <v>0.1203999999999996</v>
      </c>
      <c r="F103" s="154">
        <f t="shared" si="14"/>
        <v>0.01203999999999996</v>
      </c>
      <c r="G103" s="154">
        <f t="shared" si="15"/>
        <v>0.025800000000000014</v>
      </c>
      <c r="H103" s="154"/>
    </row>
    <row r="104" spans="1:8" ht="0.75" customHeight="1">
      <c r="A104" s="1">
        <v>87</v>
      </c>
      <c r="B104" s="39">
        <f t="shared" si="16"/>
        <v>0.8700000000000006</v>
      </c>
      <c r="C104" s="134">
        <f t="shared" si="12"/>
        <v>0.11309999999999959</v>
      </c>
      <c r="D104" s="43">
        <f t="shared" si="17"/>
        <v>0.8700000000000006</v>
      </c>
      <c r="E104" s="154">
        <f t="shared" si="13"/>
        <v>0.11309999999999959</v>
      </c>
      <c r="F104" s="154">
        <f t="shared" si="14"/>
        <v>0.011309999999999959</v>
      </c>
      <c r="G104" s="154">
        <f t="shared" si="15"/>
        <v>0.026100000000000016</v>
      </c>
      <c r="H104" s="154"/>
    </row>
    <row r="105" spans="1:8" ht="0.75" customHeight="1">
      <c r="A105" s="1">
        <v>88</v>
      </c>
      <c r="B105" s="39">
        <f t="shared" si="16"/>
        <v>0.8800000000000006</v>
      </c>
      <c r="C105" s="134">
        <f t="shared" si="12"/>
        <v>0.10559999999999957</v>
      </c>
      <c r="D105" s="43">
        <f t="shared" si="17"/>
        <v>0.8800000000000006</v>
      </c>
      <c r="E105" s="154">
        <f t="shared" si="13"/>
        <v>0.10559999999999957</v>
      </c>
      <c r="F105" s="154">
        <f t="shared" si="14"/>
        <v>0.010559999999999958</v>
      </c>
      <c r="G105" s="154">
        <f t="shared" si="15"/>
        <v>0.026400000000000017</v>
      </c>
      <c r="H105" s="154"/>
    </row>
    <row r="106" spans="1:8" ht="0.75" customHeight="1">
      <c r="A106" s="1">
        <v>89</v>
      </c>
      <c r="B106" s="39">
        <f t="shared" si="16"/>
        <v>0.8900000000000006</v>
      </c>
      <c r="C106" s="134">
        <f t="shared" si="12"/>
        <v>0.09789999999999956</v>
      </c>
      <c r="D106" s="43">
        <f t="shared" si="17"/>
        <v>0.8900000000000006</v>
      </c>
      <c r="E106" s="154">
        <f t="shared" si="13"/>
        <v>0.09789999999999956</v>
      </c>
      <c r="F106" s="154">
        <f t="shared" si="14"/>
        <v>0.009789999999999957</v>
      </c>
      <c r="G106" s="154">
        <f t="shared" si="15"/>
        <v>0.026700000000000015</v>
      </c>
      <c r="H106" s="154"/>
    </row>
    <row r="107" spans="1:8" ht="0.75" customHeight="1">
      <c r="A107" s="1">
        <v>90</v>
      </c>
      <c r="B107" s="39">
        <f t="shared" si="16"/>
        <v>0.9000000000000006</v>
      </c>
      <c r="C107" s="134">
        <f t="shared" si="12"/>
        <v>0.08999999999999954</v>
      </c>
      <c r="D107" s="43">
        <f t="shared" si="17"/>
        <v>0.9000000000000006</v>
      </c>
      <c r="E107" s="154">
        <f t="shared" si="13"/>
        <v>0.08999999999999954</v>
      </c>
      <c r="F107" s="154">
        <f t="shared" si="14"/>
        <v>0.008999999999999954</v>
      </c>
      <c r="G107" s="154">
        <f t="shared" si="15"/>
        <v>0.027000000000000017</v>
      </c>
      <c r="H107" s="154"/>
    </row>
    <row r="108" spans="1:8" ht="0.75" customHeight="1">
      <c r="A108" s="1">
        <v>91</v>
      </c>
      <c r="B108" s="39">
        <f t="shared" si="16"/>
        <v>0.9100000000000006</v>
      </c>
      <c r="C108" s="134">
        <f t="shared" si="12"/>
        <v>0.08189999999999951</v>
      </c>
      <c r="D108" s="43">
        <f t="shared" si="17"/>
        <v>0.9100000000000006</v>
      </c>
      <c r="E108" s="154">
        <f t="shared" si="13"/>
        <v>0.08189999999999951</v>
      </c>
      <c r="F108" s="154">
        <f t="shared" si="14"/>
        <v>0.008189999999999953</v>
      </c>
      <c r="G108" s="154">
        <f t="shared" si="15"/>
        <v>0.027300000000000015</v>
      </c>
      <c r="H108" s="154"/>
    </row>
    <row r="109" spans="1:8" ht="0.75" customHeight="1">
      <c r="A109" s="1">
        <v>92</v>
      </c>
      <c r="B109" s="39">
        <f t="shared" si="16"/>
        <v>0.9200000000000006</v>
      </c>
      <c r="C109" s="134">
        <f t="shared" si="12"/>
        <v>0.0735999999999995</v>
      </c>
      <c r="D109" s="43">
        <f t="shared" si="17"/>
        <v>0.9200000000000006</v>
      </c>
      <c r="E109" s="154">
        <f t="shared" si="13"/>
        <v>0.0735999999999995</v>
      </c>
      <c r="F109" s="154">
        <f t="shared" si="14"/>
        <v>0.00735999999999995</v>
      </c>
      <c r="G109" s="154">
        <f t="shared" si="15"/>
        <v>0.027600000000000017</v>
      </c>
      <c r="H109" s="154"/>
    </row>
    <row r="110" spans="1:8" ht="0.75" customHeight="1">
      <c r="A110" s="1">
        <v>93</v>
      </c>
      <c r="B110" s="39">
        <f t="shared" si="16"/>
        <v>0.9300000000000006</v>
      </c>
      <c r="C110" s="134">
        <f t="shared" si="12"/>
        <v>0.06509999999999948</v>
      </c>
      <c r="D110" s="43">
        <f t="shared" si="17"/>
        <v>0.9300000000000006</v>
      </c>
      <c r="E110" s="154">
        <f t="shared" si="13"/>
        <v>0.06509999999999948</v>
      </c>
      <c r="F110" s="154">
        <f t="shared" si="14"/>
        <v>0.006509999999999948</v>
      </c>
      <c r="G110" s="154">
        <f t="shared" si="15"/>
        <v>0.02790000000000002</v>
      </c>
      <c r="H110" s="154"/>
    </row>
    <row r="111" spans="1:8" ht="0.75" customHeight="1">
      <c r="A111" s="1">
        <v>94</v>
      </c>
      <c r="B111" s="39">
        <f t="shared" si="16"/>
        <v>0.9400000000000006</v>
      </c>
      <c r="C111" s="134">
        <f t="shared" si="12"/>
        <v>0.05639999999999946</v>
      </c>
      <c r="D111" s="43">
        <f t="shared" si="17"/>
        <v>0.9400000000000006</v>
      </c>
      <c r="E111" s="154">
        <f t="shared" si="13"/>
        <v>0.05639999999999946</v>
      </c>
      <c r="F111" s="154">
        <f t="shared" si="14"/>
        <v>0.005639999999999946</v>
      </c>
      <c r="G111" s="154">
        <f t="shared" si="15"/>
        <v>0.028200000000000017</v>
      </c>
      <c r="H111" s="154"/>
    </row>
    <row r="112" spans="1:8" ht="0.75" customHeight="1">
      <c r="A112" s="1">
        <v>95</v>
      </c>
      <c r="B112" s="39">
        <f t="shared" si="16"/>
        <v>0.9500000000000006</v>
      </c>
      <c r="C112" s="134">
        <f t="shared" si="12"/>
        <v>0.04749999999999944</v>
      </c>
      <c r="D112" s="43">
        <f t="shared" si="17"/>
        <v>0.9500000000000006</v>
      </c>
      <c r="E112" s="154">
        <f t="shared" si="13"/>
        <v>0.04749999999999944</v>
      </c>
      <c r="F112" s="154">
        <f t="shared" si="14"/>
        <v>0.004749999999999944</v>
      </c>
      <c r="G112" s="154">
        <f t="shared" si="15"/>
        <v>0.02850000000000002</v>
      </c>
      <c r="H112" s="154"/>
    </row>
    <row r="113" spans="1:8" ht="0.75" customHeight="1">
      <c r="A113" s="1">
        <v>96</v>
      </c>
      <c r="B113" s="39">
        <f t="shared" si="16"/>
        <v>0.9600000000000006</v>
      </c>
      <c r="C113" s="134">
        <f>$C$12*B113*(1-B113/$C$13)</f>
        <v>0.03839999999999942</v>
      </c>
      <c r="D113" s="43">
        <f t="shared" si="17"/>
        <v>0.9600000000000006</v>
      </c>
      <c r="E113" s="154">
        <f>$D$15*$D$13*D113*(1-($D$15/$D$12)*D113)</f>
        <v>0.03839999999999942</v>
      </c>
      <c r="F113" s="154">
        <f>$F$13*E113</f>
        <v>0.0038399999999999424</v>
      </c>
      <c r="G113" s="154">
        <f t="shared" si="15"/>
        <v>0.028800000000000017</v>
      </c>
      <c r="H113" s="154"/>
    </row>
    <row r="114" spans="1:8" ht="0.75" customHeight="1">
      <c r="A114" s="1">
        <v>97</v>
      </c>
      <c r="B114" s="39">
        <f t="shared" si="16"/>
        <v>0.9700000000000006</v>
      </c>
      <c r="C114" s="134">
        <f>$C$12*B114*(1-B114/$C$13)</f>
        <v>0.029099999999999397</v>
      </c>
      <c r="D114" s="43">
        <f t="shared" si="17"/>
        <v>0.9700000000000006</v>
      </c>
      <c r="E114" s="154">
        <f>$D$15*$D$13*D114*(1-($D$15/$D$12)*D114)</f>
        <v>0.029099999999999397</v>
      </c>
      <c r="F114" s="154">
        <f>$F$13*E114</f>
        <v>0.00290999999999994</v>
      </c>
      <c r="G114" s="154">
        <f t="shared" si="15"/>
        <v>0.029100000000000018</v>
      </c>
      <c r="H114" s="154"/>
    </row>
    <row r="115" spans="1:8" ht="0.75" customHeight="1">
      <c r="A115" s="1">
        <v>98</v>
      </c>
      <c r="B115" s="39">
        <f t="shared" si="16"/>
        <v>0.9800000000000006</v>
      </c>
      <c r="C115" s="134">
        <f>$C$12*B115*(1-B115/$C$13)</f>
        <v>0.01959999999999938</v>
      </c>
      <c r="D115" s="43">
        <f t="shared" si="17"/>
        <v>0.9800000000000006</v>
      </c>
      <c r="E115" s="154">
        <f>$D$15*$D$13*D115*(1-($D$15/$D$12)*D115)</f>
        <v>0.01959999999999938</v>
      </c>
      <c r="F115" s="154">
        <f>$F$13*E115</f>
        <v>0.001959999999999938</v>
      </c>
      <c r="G115" s="154">
        <f t="shared" si="15"/>
        <v>0.02940000000000002</v>
      </c>
      <c r="H115" s="154"/>
    </row>
    <row r="116" spans="1:8" ht="0.75" customHeight="1">
      <c r="A116" s="1">
        <v>99</v>
      </c>
      <c r="B116" s="39">
        <f t="shared" si="16"/>
        <v>0.9900000000000007</v>
      </c>
      <c r="C116" s="134">
        <f>$C$12*B116*(1-B116/$C$13)</f>
        <v>0.009899999999999355</v>
      </c>
      <c r="D116" s="43">
        <f t="shared" si="17"/>
        <v>0.9900000000000007</v>
      </c>
      <c r="E116" s="154">
        <f>$D$15*$D$13*D116*(1-($D$15/$D$12)*D116)</f>
        <v>0.009899999999999355</v>
      </c>
      <c r="F116" s="154">
        <f>$F$13*E116</f>
        <v>0.0009899999999999356</v>
      </c>
      <c r="G116" s="154">
        <f t="shared" si="15"/>
        <v>0.029700000000000018</v>
      </c>
      <c r="H116" s="154"/>
    </row>
    <row r="117" spans="1:8" ht="0.75" customHeight="1">
      <c r="A117" s="1">
        <v>100</v>
      </c>
      <c r="B117" s="39">
        <f t="shared" si="16"/>
        <v>1.0000000000000007</v>
      </c>
      <c r="C117" s="134">
        <f>$C$12*B117*(1-B117/$C$13)</f>
        <v>-6.661338147750943E-16</v>
      </c>
      <c r="D117" s="43">
        <f t="shared" si="17"/>
        <v>1.0000000000000007</v>
      </c>
      <c r="E117" s="154">
        <f>$D$15*$D$13*D117*(1-($D$15/$D$12)*D117)</f>
        <v>-6.661338147750943E-16</v>
      </c>
      <c r="F117" s="154">
        <f>$F$13*E117</f>
        <v>-6.661338147750944E-17</v>
      </c>
      <c r="G117" s="154">
        <f t="shared" si="15"/>
        <v>0.03000000000000002</v>
      </c>
      <c r="H117" s="154"/>
    </row>
    <row r="118" spans="3:6" ht="15.75">
      <c r="C118" s="154"/>
      <c r="D118" s="154"/>
      <c r="E118" s="154"/>
      <c r="F118" s="154"/>
    </row>
    <row r="119" spans="3:6" ht="15.75">
      <c r="C119" s="154"/>
      <c r="D119" s="154"/>
      <c r="E119" s="154"/>
      <c r="F119" s="154"/>
    </row>
    <row r="120" spans="3:7" ht="15.75">
      <c r="C120" s="20"/>
      <c r="D120" s="154"/>
      <c r="E120" s="154"/>
      <c r="F120" s="154"/>
      <c r="G120" s="154"/>
    </row>
    <row r="121" spans="3:7" ht="15.75">
      <c r="C121" s="20"/>
      <c r="D121" s="154"/>
      <c r="E121" s="154"/>
      <c r="F121" s="154"/>
      <c r="G121" s="154"/>
    </row>
    <row r="122" spans="3:7" ht="15.75">
      <c r="C122" s="20"/>
      <c r="D122" s="154"/>
      <c r="E122" s="154"/>
      <c r="F122" s="154"/>
      <c r="G122" s="154"/>
    </row>
    <row r="123" spans="3:7" ht="12.75">
      <c r="C123" s="20"/>
      <c r="D123" s="154"/>
      <c r="E123" s="154"/>
      <c r="F123" s="154"/>
      <c r="G123" s="154"/>
    </row>
    <row r="124" spans="3:7" ht="12.75">
      <c r="C124" s="20"/>
      <c r="D124" s="154"/>
      <c r="E124" s="154"/>
      <c r="F124" s="154"/>
      <c r="G124" s="154"/>
    </row>
    <row r="125" spans="3:7" ht="12.75">
      <c r="C125" s="20"/>
      <c r="D125" s="154"/>
      <c r="E125" s="154"/>
      <c r="F125" s="154"/>
      <c r="G125" s="154"/>
    </row>
    <row r="126" spans="3:7" ht="12.75">
      <c r="C126" s="20"/>
      <c r="D126" s="154"/>
      <c r="E126" s="154"/>
      <c r="F126" s="154"/>
      <c r="G126" s="154"/>
    </row>
    <row r="127" spans="3:7" ht="12.75">
      <c r="C127" s="20"/>
      <c r="D127" s="154"/>
      <c r="E127" s="154"/>
      <c r="F127" s="154"/>
      <c r="G127" s="154"/>
    </row>
    <row r="128" spans="3:7" ht="12.75">
      <c r="C128" s="20"/>
      <c r="D128" s="154"/>
      <c r="E128" s="154"/>
      <c r="F128" s="154"/>
      <c r="G128" s="154"/>
    </row>
    <row r="129" spans="3:7" ht="12.75">
      <c r="C129" s="20"/>
      <c r="D129" s="154"/>
      <c r="E129" s="154"/>
      <c r="F129" s="154"/>
      <c r="G129" s="154"/>
    </row>
    <row r="130" spans="3:7" ht="12.75">
      <c r="C130" s="20"/>
      <c r="D130" s="154"/>
      <c r="E130" s="154"/>
      <c r="F130" s="154"/>
      <c r="G130" s="154"/>
    </row>
    <row r="131" spans="3:7" ht="12.75">
      <c r="C131" s="20"/>
      <c r="D131" s="154"/>
      <c r="E131" s="154"/>
      <c r="F131" s="154"/>
      <c r="G131" s="154"/>
    </row>
    <row r="132" spans="3:7" ht="12.75">
      <c r="C132" s="20"/>
      <c r="D132" s="154"/>
      <c r="E132" s="154"/>
      <c r="F132" s="154"/>
      <c r="G132" s="154"/>
    </row>
    <row r="133" spans="3:7" ht="12.75">
      <c r="C133" s="20"/>
      <c r="D133" s="154"/>
      <c r="E133" s="154"/>
      <c r="F133" s="154"/>
      <c r="G133" s="154"/>
    </row>
    <row r="134" spans="3:7" ht="12.75">
      <c r="C134" s="20"/>
      <c r="D134" s="154"/>
      <c r="E134" s="154"/>
      <c r="F134" s="154"/>
      <c r="G134" s="154"/>
    </row>
    <row r="135" spans="3:7" ht="12.75">
      <c r="C135" s="20"/>
      <c r="D135" s="154"/>
      <c r="E135" s="154"/>
      <c r="F135" s="154"/>
      <c r="G135" s="154"/>
    </row>
    <row r="136" spans="3:7" ht="12.75">
      <c r="C136" s="20"/>
      <c r="D136" s="154"/>
      <c r="E136" s="154"/>
      <c r="F136" s="154"/>
      <c r="G136" s="154"/>
    </row>
    <row r="137" spans="3:7" ht="12.75">
      <c r="C137" s="20"/>
      <c r="D137" s="154"/>
      <c r="E137" s="154"/>
      <c r="F137" s="154"/>
      <c r="G137" s="154"/>
    </row>
    <row r="188" ht="13.5" thickBot="1"/>
    <row r="189" spans="1:9" ht="15" thickBot="1">
      <c r="A189" s="114" t="s">
        <v>15</v>
      </c>
      <c r="B189" s="47">
        <v>0.05</v>
      </c>
      <c r="E189" s="131"/>
      <c r="F189" s="2"/>
      <c r="G189" s="3" t="s">
        <v>131</v>
      </c>
      <c r="H189" s="2"/>
      <c r="I189" s="132"/>
    </row>
    <row r="190" spans="1:2" ht="16.5" thickBot="1">
      <c r="A190" s="114" t="s">
        <v>16</v>
      </c>
      <c r="B190" s="127">
        <f>1/(1+$B$189)</f>
        <v>0.9523809523809523</v>
      </c>
    </row>
    <row r="191" spans="1:2" ht="16.5" thickBot="1">
      <c r="A191" s="114" t="s">
        <v>17</v>
      </c>
      <c r="B191" s="78">
        <v>0</v>
      </c>
    </row>
    <row r="192" ht="13.5" thickBot="1"/>
    <row r="193" spans="1:8" ht="13.5" thickBot="1">
      <c r="A193" s="122" t="s">
        <v>18</v>
      </c>
      <c r="B193" s="122" t="s">
        <v>19</v>
      </c>
      <c r="C193" s="122" t="s">
        <v>20</v>
      </c>
      <c r="D193" s="122" t="s">
        <v>313</v>
      </c>
      <c r="E193" s="118" t="s">
        <v>318</v>
      </c>
      <c r="F193" s="118" t="s">
        <v>319</v>
      </c>
      <c r="G193" s="119" t="s">
        <v>316</v>
      </c>
      <c r="H193" s="119" t="s">
        <v>317</v>
      </c>
    </row>
    <row r="194" spans="1:8" ht="13.5" thickBot="1">
      <c r="A194" s="123">
        <v>0</v>
      </c>
      <c r="B194" s="124">
        <v>0.1</v>
      </c>
      <c r="C194" s="124">
        <v>1</v>
      </c>
      <c r="D194" s="128">
        <f>($B$190^A194)*LN(1+B194)</f>
        <v>0.09531017980432493</v>
      </c>
      <c r="E194" s="120">
        <f aca="true" t="shared" si="18" ref="E194:E203">0.1*$B$206</f>
        <v>0.09999999999999999</v>
      </c>
      <c r="F194" s="120">
        <f>B194</f>
        <v>0.1</v>
      </c>
      <c r="G194" s="120">
        <f>$B$206</f>
        <v>0.9999999999999999</v>
      </c>
      <c r="H194" s="120">
        <f>$B$206</f>
        <v>0.9999999999999999</v>
      </c>
    </row>
    <row r="195" spans="1:8" ht="13.5" thickBot="1">
      <c r="A195" s="123">
        <f>A194+1</f>
        <v>1</v>
      </c>
      <c r="B195" s="124">
        <v>0.1</v>
      </c>
      <c r="C195" s="124">
        <f>C194-B194</f>
        <v>0.9</v>
      </c>
      <c r="D195" s="128">
        <f aca="true" t="shared" si="19" ref="D195:D203">($B$190^A195)*LN(1+B195)</f>
        <v>0.09077159981364279</v>
      </c>
      <c r="E195" s="120">
        <f t="shared" si="18"/>
        <v>0.09999999999999999</v>
      </c>
      <c r="F195" s="120">
        <f aca="true" t="shared" si="20" ref="F195:F204">B195</f>
        <v>0.1</v>
      </c>
      <c r="G195" s="120">
        <f>$B$206-0.1*$B$206</f>
        <v>0.8999999999999999</v>
      </c>
      <c r="H195" s="120">
        <f>$B$206-B194</f>
        <v>0.8999999999999999</v>
      </c>
    </row>
    <row r="196" spans="1:8" ht="13.5" thickBot="1">
      <c r="A196" s="123">
        <f aca="true" t="shared" si="21" ref="A196:A204">A195+1</f>
        <v>2</v>
      </c>
      <c r="B196" s="124">
        <v>0.1</v>
      </c>
      <c r="C196" s="124">
        <f aca="true" t="shared" si="22" ref="C196:C204">C195-B195</f>
        <v>0.8</v>
      </c>
      <c r="D196" s="128">
        <f t="shared" si="19"/>
        <v>0.0864491426796598</v>
      </c>
      <c r="E196" s="120">
        <f t="shared" si="18"/>
        <v>0.09999999999999999</v>
      </c>
      <c r="F196" s="120">
        <f t="shared" si="20"/>
        <v>0.1</v>
      </c>
      <c r="G196" s="120">
        <f>G195-0.1*$B$206</f>
        <v>0.7999999999999999</v>
      </c>
      <c r="H196" s="120">
        <f aca="true" t="shared" si="23" ref="H196:H204">H195-B195</f>
        <v>0.7999999999999999</v>
      </c>
    </row>
    <row r="197" spans="1:8" ht="13.5" thickBot="1">
      <c r="A197" s="123">
        <f t="shared" si="21"/>
        <v>3</v>
      </c>
      <c r="B197" s="124">
        <v>0.1</v>
      </c>
      <c r="C197" s="124">
        <f t="shared" si="22"/>
        <v>0.7000000000000001</v>
      </c>
      <c r="D197" s="128">
        <f t="shared" si="19"/>
        <v>0.08233251683777124</v>
      </c>
      <c r="E197" s="120">
        <f t="shared" si="18"/>
        <v>0.09999999999999999</v>
      </c>
      <c r="F197" s="120">
        <f t="shared" si="20"/>
        <v>0.1</v>
      </c>
      <c r="G197" s="120">
        <f aca="true" t="shared" si="24" ref="G197:G204">G196-0.1*$B$206</f>
        <v>0.7</v>
      </c>
      <c r="H197" s="120">
        <f t="shared" si="23"/>
        <v>0.7</v>
      </c>
    </row>
    <row r="198" spans="1:8" ht="13.5" thickBot="1">
      <c r="A198" s="123">
        <f t="shared" si="21"/>
        <v>4</v>
      </c>
      <c r="B198" s="124">
        <v>0.1</v>
      </c>
      <c r="C198" s="124">
        <f t="shared" si="22"/>
        <v>0.6000000000000001</v>
      </c>
      <c r="D198" s="128">
        <f t="shared" si="19"/>
        <v>0.07841192079787736</v>
      </c>
      <c r="E198" s="120">
        <f t="shared" si="18"/>
        <v>0.09999999999999999</v>
      </c>
      <c r="F198" s="120">
        <f t="shared" si="20"/>
        <v>0.1</v>
      </c>
      <c r="G198" s="120">
        <f t="shared" si="24"/>
        <v>0.6</v>
      </c>
      <c r="H198" s="120">
        <f t="shared" si="23"/>
        <v>0.6</v>
      </c>
    </row>
    <row r="199" spans="1:8" ht="13.5" thickBot="1">
      <c r="A199" s="123">
        <f t="shared" si="21"/>
        <v>5</v>
      </c>
      <c r="B199" s="124">
        <v>0.1</v>
      </c>
      <c r="C199" s="124">
        <f t="shared" si="22"/>
        <v>0.5000000000000001</v>
      </c>
      <c r="D199" s="128">
        <f t="shared" si="19"/>
        <v>0.07467801980750224</v>
      </c>
      <c r="E199" s="120">
        <f t="shared" si="18"/>
        <v>0.09999999999999999</v>
      </c>
      <c r="F199" s="120">
        <f t="shared" si="20"/>
        <v>0.1</v>
      </c>
      <c r="G199" s="120">
        <f t="shared" si="24"/>
        <v>0.5</v>
      </c>
      <c r="H199" s="120">
        <f t="shared" si="23"/>
        <v>0.5</v>
      </c>
    </row>
    <row r="200" spans="1:8" ht="13.5" thickBot="1">
      <c r="A200" s="123">
        <f t="shared" si="21"/>
        <v>6</v>
      </c>
      <c r="B200" s="124">
        <v>0.1</v>
      </c>
      <c r="C200" s="124">
        <f t="shared" si="22"/>
        <v>0.40000000000000013</v>
      </c>
      <c r="D200" s="128">
        <f t="shared" si="19"/>
        <v>0.07112192362619262</v>
      </c>
      <c r="E200" s="120">
        <f t="shared" si="18"/>
        <v>0.09999999999999999</v>
      </c>
      <c r="F200" s="120">
        <f t="shared" si="20"/>
        <v>0.1</v>
      </c>
      <c r="G200" s="120">
        <f t="shared" si="24"/>
        <v>0.4</v>
      </c>
      <c r="H200" s="120">
        <f t="shared" si="23"/>
        <v>0.4</v>
      </c>
    </row>
    <row r="201" spans="1:8" ht="13.5" thickBot="1">
      <c r="A201" s="123">
        <f t="shared" si="21"/>
        <v>7</v>
      </c>
      <c r="B201" s="124">
        <v>0.1</v>
      </c>
      <c r="C201" s="124">
        <f t="shared" si="22"/>
        <v>0.30000000000000016</v>
      </c>
      <c r="D201" s="128">
        <f t="shared" si="19"/>
        <v>0.06773516535827867</v>
      </c>
      <c r="E201" s="120">
        <f t="shared" si="18"/>
        <v>0.09999999999999999</v>
      </c>
      <c r="F201" s="120">
        <f t="shared" si="20"/>
        <v>0.1</v>
      </c>
      <c r="G201" s="120">
        <f t="shared" si="24"/>
        <v>0.30000000000000004</v>
      </c>
      <c r="H201" s="120">
        <f t="shared" si="23"/>
        <v>0.30000000000000004</v>
      </c>
    </row>
    <row r="202" spans="1:8" ht="13.5" thickBot="1">
      <c r="A202" s="123">
        <f t="shared" si="21"/>
        <v>8</v>
      </c>
      <c r="B202" s="124">
        <v>0.1</v>
      </c>
      <c r="C202" s="124">
        <f t="shared" si="22"/>
        <v>0.20000000000000015</v>
      </c>
      <c r="D202" s="128">
        <f t="shared" si="19"/>
        <v>0.06450968129359874</v>
      </c>
      <c r="E202" s="120">
        <f t="shared" si="18"/>
        <v>0.09999999999999999</v>
      </c>
      <c r="F202" s="120">
        <f t="shared" si="20"/>
        <v>0.1</v>
      </c>
      <c r="G202" s="120">
        <f t="shared" si="24"/>
        <v>0.20000000000000007</v>
      </c>
      <c r="H202" s="120">
        <f t="shared" si="23"/>
        <v>0.20000000000000004</v>
      </c>
    </row>
    <row r="203" spans="1:8" ht="13.5" thickBot="1">
      <c r="A203" s="123">
        <f t="shared" si="21"/>
        <v>9</v>
      </c>
      <c r="B203" s="124">
        <v>0.1</v>
      </c>
      <c r="C203" s="124">
        <f t="shared" si="22"/>
        <v>0.10000000000000014</v>
      </c>
      <c r="D203" s="128">
        <f t="shared" si="19"/>
        <v>0.06143779170818928</v>
      </c>
      <c r="E203" s="120">
        <f t="shared" si="18"/>
        <v>0.09999999999999999</v>
      </c>
      <c r="F203" s="120">
        <f t="shared" si="20"/>
        <v>0.1</v>
      </c>
      <c r="G203" s="120">
        <f t="shared" si="24"/>
        <v>0.10000000000000007</v>
      </c>
      <c r="H203" s="120">
        <f t="shared" si="23"/>
        <v>0.10000000000000003</v>
      </c>
    </row>
    <row r="204" spans="1:8" ht="13.5" thickBot="1">
      <c r="A204" s="123">
        <f t="shared" si="21"/>
        <v>10</v>
      </c>
      <c r="B204" s="124">
        <v>0</v>
      </c>
      <c r="C204" s="124">
        <f t="shared" si="22"/>
        <v>1.3877787807814457E-16</v>
      </c>
      <c r="D204" s="128">
        <f>($B$190^A204)*$B$191*$C$204</f>
        <v>0</v>
      </c>
      <c r="E204" s="120">
        <f>$B$206-SUM(E194:E203)</f>
        <v>0</v>
      </c>
      <c r="F204" s="120">
        <f t="shared" si="20"/>
        <v>0</v>
      </c>
      <c r="G204" s="120">
        <f t="shared" si="24"/>
        <v>8.326672684688674E-17</v>
      </c>
      <c r="H204" s="120">
        <f t="shared" si="23"/>
        <v>0</v>
      </c>
    </row>
    <row r="205" spans="4:6" ht="13.5" thickBot="1">
      <c r="D205" s="129"/>
      <c r="F205" s="43"/>
    </row>
    <row r="206" spans="1:8" ht="13.5" thickBot="1">
      <c r="A206" s="126" t="s">
        <v>315</v>
      </c>
      <c r="B206" s="125">
        <f>SUM(B194:B204)</f>
        <v>0.9999999999999999</v>
      </c>
      <c r="C206" s="126" t="s">
        <v>314</v>
      </c>
      <c r="D206" s="130">
        <f>SUM(D194:D204)</f>
        <v>0.7727579417270377</v>
      </c>
      <c r="E206" s="120">
        <f>SUM(E194:E204)</f>
        <v>0.9999999999999999</v>
      </c>
      <c r="F206" s="120">
        <f>SUM(F194:F204)</f>
        <v>0.9999999999999999</v>
      </c>
      <c r="G206" s="121"/>
      <c r="H206" s="121"/>
    </row>
    <row r="207" spans="1:8" ht="12.75">
      <c r="A207" s="133"/>
      <c r="B207" s="134"/>
      <c r="C207" s="133"/>
      <c r="D207" s="135"/>
      <c r="E207" s="120"/>
      <c r="F207" s="120"/>
      <c r="G207" s="121"/>
      <c r="H207" s="121"/>
    </row>
    <row r="222" ht="13.5" thickBot="1"/>
    <row r="223" spans="4:8" ht="13.5" thickBot="1">
      <c r="D223" s="145"/>
      <c r="E223" s="146"/>
      <c r="F223" s="147" t="s">
        <v>456</v>
      </c>
      <c r="G223" s="146"/>
      <c r="H223" s="148"/>
    </row>
    <row r="224" spans="2:10" ht="13.5" thickBot="1">
      <c r="B224" s="77" t="s">
        <v>435</v>
      </c>
      <c r="C224" s="140"/>
      <c r="D224" s="144" t="s">
        <v>132</v>
      </c>
      <c r="E224" s="143"/>
      <c r="F224" s="144" t="s">
        <v>146</v>
      </c>
      <c r="G224" s="143"/>
      <c r="H224" s="144" t="s">
        <v>197</v>
      </c>
      <c r="I224" s="50"/>
      <c r="J224" s="47"/>
    </row>
    <row r="225" spans="2:10" ht="27" customHeight="1" thickBot="1">
      <c r="B225" s="48"/>
      <c r="C225" s="50"/>
      <c r="D225" s="48"/>
      <c r="E225" s="47"/>
      <c r="F225" s="48"/>
      <c r="G225" s="50"/>
      <c r="H225" s="48"/>
      <c r="I225" s="50"/>
      <c r="J225" s="47"/>
    </row>
    <row r="226" spans="2:10" ht="27">
      <c r="B226" s="59" t="s">
        <v>82</v>
      </c>
      <c r="C226" s="141">
        <v>0.25</v>
      </c>
      <c r="D226" s="59" t="s">
        <v>82</v>
      </c>
      <c r="E226" s="141">
        <v>0.25</v>
      </c>
      <c r="F226" s="59" t="s">
        <v>82</v>
      </c>
      <c r="G226" s="141">
        <v>0.25</v>
      </c>
      <c r="H226" s="59" t="s">
        <v>82</v>
      </c>
      <c r="I226" s="74">
        <v>0.25</v>
      </c>
      <c r="J226" s="35"/>
    </row>
    <row r="227" spans="2:10" ht="12.75">
      <c r="B227" s="142" t="s">
        <v>80</v>
      </c>
      <c r="C227" s="96">
        <v>1</v>
      </c>
      <c r="D227" s="142" t="s">
        <v>80</v>
      </c>
      <c r="E227" s="96">
        <v>1</v>
      </c>
      <c r="F227" s="142" t="s">
        <v>80</v>
      </c>
      <c r="G227" s="96">
        <v>1</v>
      </c>
      <c r="H227" s="142" t="s">
        <v>80</v>
      </c>
      <c r="I227" s="134">
        <v>1</v>
      </c>
      <c r="J227" s="21"/>
    </row>
    <row r="228" spans="2:10" ht="12.75">
      <c r="B228" s="142" t="s">
        <v>81</v>
      </c>
      <c r="C228" s="96">
        <v>1</v>
      </c>
      <c r="D228" s="142" t="s">
        <v>81</v>
      </c>
      <c r="E228" s="96">
        <v>1</v>
      </c>
      <c r="F228" s="142" t="s">
        <v>81</v>
      </c>
      <c r="G228" s="96">
        <v>1</v>
      </c>
      <c r="H228" s="142" t="s">
        <v>81</v>
      </c>
      <c r="I228" s="134">
        <v>1</v>
      </c>
      <c r="J228" s="21"/>
    </row>
    <row r="229" spans="2:10" ht="19.5" thickBot="1">
      <c r="B229" s="36" t="s">
        <v>83</v>
      </c>
      <c r="C229" s="143">
        <v>0.25</v>
      </c>
      <c r="D229" s="36" t="s">
        <v>83</v>
      </c>
      <c r="E229" s="143">
        <v>0.25</v>
      </c>
      <c r="F229" s="36" t="s">
        <v>83</v>
      </c>
      <c r="G229" s="143">
        <v>0.25</v>
      </c>
      <c r="H229" s="36" t="s">
        <v>83</v>
      </c>
      <c r="I229" s="69">
        <v>0.25</v>
      </c>
      <c r="J229" s="23"/>
    </row>
    <row r="230" spans="2:8" ht="15.75">
      <c r="B230" s="4"/>
      <c r="C230" s="12"/>
      <c r="E230" s="4"/>
      <c r="F230" s="12"/>
      <c r="G230" s="4"/>
      <c r="H230" s="12"/>
    </row>
    <row r="231" spans="2:6" ht="15.75">
      <c r="B231" s="12" t="s">
        <v>84</v>
      </c>
      <c r="C231" s="12" t="s">
        <v>435</v>
      </c>
      <c r="D231" s="12" t="s">
        <v>132</v>
      </c>
      <c r="E231" s="12" t="s">
        <v>146</v>
      </c>
      <c r="F231" s="12" t="s">
        <v>197</v>
      </c>
    </row>
    <row r="232" spans="2:6" ht="15.75">
      <c r="B232" s="139">
        <v>1E-05</v>
      </c>
      <c r="C232" s="43">
        <f aca="true" t="shared" si="25" ref="C232:C263">$C$227*B232*(1-B232/$C$228)</f>
        <v>9.9999E-06</v>
      </c>
      <c r="D232" s="43">
        <f aca="true" t="shared" si="26" ref="D232:D263">B232*((EXP($E$227*(1-B232/$E$228)))-1)</f>
        <v>1.7182546457766745E-05</v>
      </c>
      <c r="E232" s="43">
        <f aca="true" t="shared" si="27" ref="E232:E263">$G$227*B232*(LN($G$228/B232))</f>
        <v>0.0001151292546497023</v>
      </c>
      <c r="F232" s="43">
        <f aca="true" t="shared" si="28" ref="F232:F263">$I$227*B232*((B232/$I$229)-1)*(1-B232/$I$228)</f>
        <v>-9.999500004000001E-06</v>
      </c>
    </row>
    <row r="233" spans="2:6" ht="15.75">
      <c r="B233" s="1">
        <v>0.01</v>
      </c>
      <c r="C233" s="43">
        <f t="shared" si="25"/>
        <v>0.0099</v>
      </c>
      <c r="D233" s="43">
        <f t="shared" si="26"/>
        <v>0.01691234472349262</v>
      </c>
      <c r="E233" s="43">
        <f t="shared" si="27"/>
        <v>0.04605170185988092</v>
      </c>
      <c r="F233" s="43">
        <f t="shared" si="28"/>
        <v>-0.009503999999999999</v>
      </c>
    </row>
    <row r="234" spans="2:6" ht="15.75">
      <c r="B234" s="1">
        <f>B233+0.01</f>
        <v>0.02</v>
      </c>
      <c r="C234" s="43">
        <f t="shared" si="25"/>
        <v>0.0196</v>
      </c>
      <c r="D234" s="43">
        <f t="shared" si="26"/>
        <v>0.03328912483858834</v>
      </c>
      <c r="E234" s="43">
        <f t="shared" si="27"/>
        <v>0.07824046010856292</v>
      </c>
      <c r="F234" s="43">
        <f t="shared" si="28"/>
        <v>-0.018032</v>
      </c>
    </row>
    <row r="235" spans="2:6" ht="15.75">
      <c r="B235" s="39">
        <f aca="true" t="shared" si="29" ref="B235:B264">B234+0.01</f>
        <v>0.03</v>
      </c>
      <c r="C235" s="43">
        <f t="shared" si="25"/>
        <v>0.029099999999999997</v>
      </c>
      <c r="D235" s="43">
        <f t="shared" si="26"/>
        <v>0.04913833378062458</v>
      </c>
      <c r="E235" s="43">
        <f t="shared" si="27"/>
        <v>0.10519673691959945</v>
      </c>
      <c r="F235" s="43">
        <f t="shared" si="28"/>
        <v>-0.025608</v>
      </c>
    </row>
    <row r="236" spans="2:6" ht="0.75" customHeight="1">
      <c r="B236" s="39">
        <f t="shared" si="29"/>
        <v>0.04</v>
      </c>
      <c r="C236" s="43">
        <f t="shared" si="25"/>
        <v>0.0384</v>
      </c>
      <c r="D236" s="43">
        <f t="shared" si="26"/>
        <v>0.06446785893692472</v>
      </c>
      <c r="E236" s="43">
        <f t="shared" si="27"/>
        <v>0.128755032994728</v>
      </c>
      <c r="F236" s="43">
        <f t="shared" si="28"/>
        <v>-0.032256</v>
      </c>
    </row>
    <row r="237" spans="2:6" ht="0.75" customHeight="1">
      <c r="B237" s="39">
        <f t="shared" si="29"/>
        <v>0.05</v>
      </c>
      <c r="C237" s="43">
        <f t="shared" si="25"/>
        <v>0.0475</v>
      </c>
      <c r="D237" s="43">
        <f t="shared" si="26"/>
        <v>0.0792854829657923</v>
      </c>
      <c r="E237" s="43">
        <f t="shared" si="27"/>
        <v>0.14978661367769955</v>
      </c>
      <c r="F237" s="43">
        <f t="shared" si="28"/>
        <v>-0.038000000000000006</v>
      </c>
    </row>
    <row r="238" spans="2:6" ht="0.75" customHeight="1">
      <c r="B238" s="39">
        <f t="shared" si="29"/>
        <v>0.060000000000000005</v>
      </c>
      <c r="C238" s="43">
        <f t="shared" si="25"/>
        <v>0.0564</v>
      </c>
      <c r="D238" s="43">
        <f t="shared" si="26"/>
        <v>0.09359888509975628</v>
      </c>
      <c r="E238" s="43">
        <f t="shared" si="27"/>
        <v>0.1688046430056022</v>
      </c>
      <c r="F238" s="43">
        <f t="shared" si="28"/>
        <v>-0.042864</v>
      </c>
    </row>
    <row r="239" spans="2:6" ht="0.75" customHeight="1">
      <c r="B239" s="39">
        <f t="shared" si="29"/>
        <v>0.07</v>
      </c>
      <c r="C239" s="43">
        <f t="shared" si="25"/>
        <v>0.0651</v>
      </c>
      <c r="D239" s="43">
        <f t="shared" si="26"/>
        <v>0.10741564243324983</v>
      </c>
      <c r="E239" s="43">
        <f t="shared" si="27"/>
        <v>0.18614820258529446</v>
      </c>
      <c r="F239" s="43">
        <f t="shared" si="28"/>
        <v>-0.046872</v>
      </c>
    </row>
    <row r="240" spans="2:6" ht="0.75" customHeight="1">
      <c r="B240" s="39">
        <f t="shared" si="29"/>
        <v>0.08</v>
      </c>
      <c r="C240" s="43">
        <f t="shared" si="25"/>
        <v>0.0736</v>
      </c>
      <c r="D240" s="43">
        <f t="shared" si="26"/>
        <v>0.12074323119490384</v>
      </c>
      <c r="E240" s="43">
        <f t="shared" si="27"/>
        <v>0.20205829154466046</v>
      </c>
      <c r="F240" s="43">
        <f t="shared" si="28"/>
        <v>-0.050048</v>
      </c>
    </row>
    <row r="241" spans="2:6" ht="0.75" customHeight="1">
      <c r="B241" s="39">
        <f t="shared" si="29"/>
        <v>0.09</v>
      </c>
      <c r="C241" s="43">
        <f t="shared" si="25"/>
        <v>0.0819</v>
      </c>
      <c r="D241" s="43">
        <f t="shared" si="26"/>
        <v>0.1335890280046335</v>
      </c>
      <c r="E241" s="43">
        <f t="shared" si="27"/>
        <v>0.21671510477866845</v>
      </c>
      <c r="F241" s="43">
        <f t="shared" si="28"/>
        <v>-0.052416</v>
      </c>
    </row>
    <row r="242" spans="2:6" ht="0.75" customHeight="1">
      <c r="B242" s="39">
        <f t="shared" si="29"/>
        <v>0.09999999999999999</v>
      </c>
      <c r="C242" s="43">
        <f t="shared" si="25"/>
        <v>0.09</v>
      </c>
      <c r="D242" s="43">
        <f t="shared" si="26"/>
        <v>0.14596031111569496</v>
      </c>
      <c r="E242" s="43">
        <f t="shared" si="27"/>
        <v>0.23025850929940458</v>
      </c>
      <c r="F242" s="43">
        <f t="shared" si="28"/>
        <v>-0.054000000000000006</v>
      </c>
    </row>
    <row r="243" spans="2:6" ht="0.75" customHeight="1">
      <c r="B243" s="39">
        <f t="shared" si="29"/>
        <v>0.10999999999999999</v>
      </c>
      <c r="C243" s="43">
        <f t="shared" si="25"/>
        <v>0.09789999999999999</v>
      </c>
      <c r="D243" s="43">
        <f t="shared" si="26"/>
        <v>0.15786426164188616</v>
      </c>
      <c r="E243" s="43">
        <f t="shared" si="27"/>
        <v>0.2428002404508693</v>
      </c>
      <c r="F243" s="43">
        <f t="shared" si="28"/>
        <v>-0.054824</v>
      </c>
    </row>
    <row r="244" spans="2:6" ht="0.75" customHeight="1">
      <c r="B244" s="39">
        <f t="shared" si="29"/>
        <v>0.11999999999999998</v>
      </c>
      <c r="C244" s="43">
        <f t="shared" si="25"/>
        <v>0.10559999999999999</v>
      </c>
      <c r="D244" s="43">
        <f t="shared" si="26"/>
        <v>0.16930796477006516</v>
      </c>
      <c r="E244" s="43">
        <f t="shared" si="27"/>
        <v>0.2544316243440109</v>
      </c>
      <c r="F244" s="43">
        <f t="shared" si="28"/>
        <v>-0.05491199999999999</v>
      </c>
    </row>
    <row r="245" spans="2:6" ht="0.75" customHeight="1">
      <c r="B245" s="39">
        <f t="shared" si="29"/>
        <v>0.12999999999999998</v>
      </c>
      <c r="C245" s="43">
        <f t="shared" si="25"/>
        <v>0.11309999999999998</v>
      </c>
      <c r="D245" s="43">
        <f t="shared" si="26"/>
        <v>0.1802984109581559</v>
      </c>
      <c r="E245" s="43">
        <f t="shared" si="27"/>
        <v>0.265228707708452</v>
      </c>
      <c r="F245" s="43">
        <f t="shared" si="28"/>
        <v>-0.054288</v>
      </c>
    </row>
    <row r="246" spans="2:6" ht="0.75" customHeight="1">
      <c r="B246" s="39">
        <f t="shared" si="29"/>
        <v>0.13999999999999999</v>
      </c>
      <c r="C246" s="43">
        <f t="shared" si="25"/>
        <v>0.12039999999999998</v>
      </c>
      <c r="D246" s="43">
        <f t="shared" si="26"/>
        <v>0.19084249711881124</v>
      </c>
      <c r="E246" s="43">
        <f t="shared" si="27"/>
        <v>0.27525579989219656</v>
      </c>
      <c r="F246" s="43">
        <f t="shared" si="28"/>
        <v>-0.052976</v>
      </c>
    </row>
    <row r="247" spans="2:6" ht="0.75" customHeight="1">
      <c r="B247" s="39">
        <f t="shared" si="29"/>
        <v>0.15</v>
      </c>
      <c r="C247" s="43">
        <f t="shared" si="25"/>
        <v>0.1275</v>
      </c>
      <c r="D247" s="43">
        <f t="shared" si="26"/>
        <v>0.2009470277888986</v>
      </c>
      <c r="E247" s="43">
        <f t="shared" si="27"/>
        <v>0.28456799773288216</v>
      </c>
      <c r="F247" s="43">
        <f t="shared" si="28"/>
        <v>-0.051</v>
      </c>
    </row>
    <row r="248" spans="2:6" ht="0.75" customHeight="1">
      <c r="B248" s="39">
        <f t="shared" si="29"/>
        <v>0.16</v>
      </c>
      <c r="C248" s="43">
        <f t="shared" si="25"/>
        <v>0.1344</v>
      </c>
      <c r="D248" s="43">
        <f t="shared" si="26"/>
        <v>0.21061871628497464</v>
      </c>
      <c r="E248" s="43">
        <f t="shared" si="27"/>
        <v>0.29321303419972966</v>
      </c>
      <c r="F248" s="43">
        <f t="shared" si="28"/>
        <v>-0.048383999999999996</v>
      </c>
    </row>
    <row r="249" spans="2:6" ht="0.75" customHeight="1">
      <c r="B249" s="39">
        <f t="shared" si="29"/>
        <v>0.17</v>
      </c>
      <c r="C249" s="43">
        <f t="shared" si="25"/>
        <v>0.1411</v>
      </c>
      <c r="D249" s="43">
        <f t="shared" si="26"/>
        <v>0.21986418584491105</v>
      </c>
      <c r="E249" s="43">
        <f t="shared" si="27"/>
        <v>0.3012326631284188</v>
      </c>
      <c r="F249" s="43">
        <f t="shared" si="28"/>
        <v>-0.045152</v>
      </c>
    </row>
    <row r="250" spans="2:6" ht="0.75" customHeight="1">
      <c r="B250" s="39">
        <f t="shared" si="29"/>
        <v>0.18000000000000002</v>
      </c>
      <c r="C250" s="43">
        <f t="shared" si="25"/>
        <v>0.1476</v>
      </c>
      <c r="D250" s="43">
        <f t="shared" si="26"/>
        <v>0.22868997075583306</v>
      </c>
      <c r="E250" s="43">
        <f t="shared" si="27"/>
        <v>0.30866371705654677</v>
      </c>
      <c r="F250" s="43">
        <f t="shared" si="28"/>
        <v>-0.04132799999999999</v>
      </c>
    </row>
    <row r="251" spans="2:6" ht="0.75" customHeight="1">
      <c r="B251" s="39">
        <f t="shared" si="29"/>
        <v>0.19000000000000003</v>
      </c>
      <c r="C251" s="43">
        <f t="shared" si="25"/>
        <v>0.1539</v>
      </c>
      <c r="D251" s="43">
        <f t="shared" si="26"/>
        <v>0.2371025174685296</v>
      </c>
      <c r="E251" s="43">
        <f t="shared" si="27"/>
        <v>0.3155389292961137</v>
      </c>
      <c r="F251" s="43">
        <f t="shared" si="28"/>
        <v>-0.03693599999999999</v>
      </c>
    </row>
    <row r="252" spans="2:6" ht="0.75" customHeight="1">
      <c r="B252" s="39">
        <f t="shared" si="29"/>
        <v>0.20000000000000004</v>
      </c>
      <c r="C252" s="43">
        <f t="shared" si="25"/>
        <v>0.16000000000000003</v>
      </c>
      <c r="D252" s="43">
        <f t="shared" si="26"/>
        <v>0.24510818569849355</v>
      </c>
      <c r="E252" s="43">
        <f t="shared" si="27"/>
        <v>0.32188758248682015</v>
      </c>
      <c r="F252" s="43">
        <f t="shared" si="28"/>
        <v>-0.03199999999999998</v>
      </c>
    </row>
    <row r="253" spans="2:6" ht="0.75" customHeight="1">
      <c r="B253" s="39">
        <f t="shared" si="29"/>
        <v>0.21000000000000005</v>
      </c>
      <c r="C253" s="43">
        <f t="shared" si="25"/>
        <v>0.16590000000000002</v>
      </c>
      <c r="D253" s="43">
        <f t="shared" si="26"/>
        <v>0.25271324951374674</v>
      </c>
      <c r="E253" s="43">
        <f t="shared" si="27"/>
        <v>0.32773602713558037</v>
      </c>
      <c r="F253" s="43">
        <f t="shared" si="28"/>
        <v>-0.026543999999999974</v>
      </c>
    </row>
    <row r="254" spans="2:6" ht="0.75" customHeight="1">
      <c r="B254" s="39">
        <f t="shared" si="29"/>
        <v>0.22000000000000006</v>
      </c>
      <c r="C254" s="43">
        <f t="shared" si="25"/>
        <v>0.17160000000000003</v>
      </c>
      <c r="D254" s="43">
        <f t="shared" si="26"/>
        <v>0.2599238984096043</v>
      </c>
      <c r="E254" s="43">
        <f t="shared" si="27"/>
        <v>0.33310810117855066</v>
      </c>
      <c r="F254" s="43">
        <f t="shared" si="28"/>
        <v>-0.020591999999999964</v>
      </c>
    </row>
    <row r="255" spans="2:6" ht="0.75" customHeight="1">
      <c r="B255" s="39">
        <f t="shared" si="29"/>
        <v>0.23000000000000007</v>
      </c>
      <c r="C255" s="43">
        <f t="shared" si="25"/>
        <v>0.17710000000000004</v>
      </c>
      <c r="D255" s="43">
        <f t="shared" si="26"/>
        <v>0.26674623837053046</v>
      </c>
      <c r="E255" s="43">
        <f t="shared" si="27"/>
        <v>0.33802547311355663</v>
      </c>
      <c r="F255" s="43">
        <f t="shared" si="28"/>
        <v>-0.014167999999999955</v>
      </c>
    </row>
    <row r="256" spans="2:6" ht="0.75" customHeight="1">
      <c r="B256" s="39">
        <f t="shared" si="29"/>
        <v>0.24000000000000007</v>
      </c>
      <c r="C256" s="43">
        <f t="shared" si="25"/>
        <v>0.18240000000000003</v>
      </c>
      <c r="D256" s="43">
        <f t="shared" si="26"/>
        <v>0.2731862929192365</v>
      </c>
      <c r="E256" s="43">
        <f t="shared" si="27"/>
        <v>0.342507925353635</v>
      </c>
      <c r="F256" s="43">
        <f t="shared" si="28"/>
        <v>-0.007295999999999947</v>
      </c>
    </row>
    <row r="257" spans="2:6" ht="0.75" customHeight="1">
      <c r="B257" s="39">
        <f t="shared" si="29"/>
        <v>0.25000000000000006</v>
      </c>
      <c r="C257" s="43">
        <f t="shared" si="25"/>
        <v>0.18750000000000006</v>
      </c>
      <c r="D257" s="43">
        <f t="shared" si="26"/>
        <v>0.27925000415316875</v>
      </c>
      <c r="E257" s="43">
        <f t="shared" si="27"/>
        <v>0.34657359027997264</v>
      </c>
      <c r="F257" s="43">
        <f t="shared" si="28"/>
        <v>4.163336342344338E-17</v>
      </c>
    </row>
    <row r="258" spans="2:6" ht="0.75" customHeight="1">
      <c r="B258" s="39">
        <f t="shared" si="29"/>
        <v>0.26000000000000006</v>
      </c>
      <c r="C258" s="43">
        <f t="shared" si="25"/>
        <v>0.19240000000000004</v>
      </c>
      <c r="D258" s="43">
        <f t="shared" si="26"/>
        <v>0.2849432337685348</v>
      </c>
      <c r="E258" s="43">
        <f t="shared" si="27"/>
        <v>0.3502391484713185</v>
      </c>
      <c r="F258" s="43">
        <f t="shared" si="28"/>
        <v>0.007696000000000051</v>
      </c>
    </row>
    <row r="259" spans="2:6" ht="0.75" customHeight="1">
      <c r="B259" s="39">
        <f t="shared" si="29"/>
        <v>0.2700000000000001</v>
      </c>
      <c r="C259" s="43">
        <f t="shared" si="25"/>
        <v>0.19710000000000005</v>
      </c>
      <c r="D259" s="43">
        <f t="shared" si="26"/>
        <v>0.2902717640720131</v>
      </c>
      <c r="E259" s="43">
        <f t="shared" si="27"/>
        <v>0.3535199963956158</v>
      </c>
      <c r="F259" s="43">
        <f t="shared" si="28"/>
        <v>0.01576800000000006</v>
      </c>
    </row>
    <row r="260" spans="2:6" ht="0.75" customHeight="1">
      <c r="B260" s="39">
        <f t="shared" si="29"/>
        <v>0.2800000000000001</v>
      </c>
      <c r="C260" s="43">
        <f t="shared" si="25"/>
        <v>0.20160000000000006</v>
      </c>
      <c r="D260" s="43">
        <f t="shared" si="26"/>
        <v>0.2952412989802886</v>
      </c>
      <c r="E260" s="43">
        <f t="shared" si="27"/>
        <v>0.3564303892276085</v>
      </c>
      <c r="F260" s="43">
        <f t="shared" si="28"/>
        <v>0.02419200000000007</v>
      </c>
    </row>
    <row r="261" spans="2:6" ht="0.75" customHeight="1">
      <c r="B261" s="39">
        <f t="shared" si="29"/>
        <v>0.2900000000000001</v>
      </c>
      <c r="C261" s="43">
        <f t="shared" si="25"/>
        <v>0.20590000000000006</v>
      </c>
      <c r="D261" s="43">
        <f t="shared" si="26"/>
        <v>0.2998574650075578</v>
      </c>
      <c r="E261" s="43">
        <f t="shared" si="27"/>
        <v>0.35898356324046904</v>
      </c>
      <c r="F261" s="43">
        <f t="shared" si="28"/>
        <v>0.032944000000000084</v>
      </c>
    </row>
    <row r="262" spans="2:6" ht="0.75" customHeight="1">
      <c r="B262" s="39">
        <f t="shared" si="29"/>
        <v>0.3000000000000001</v>
      </c>
      <c r="C262" s="43">
        <f t="shared" si="25"/>
        <v>0.21000000000000005</v>
      </c>
      <c r="D262" s="43">
        <f t="shared" si="26"/>
        <v>0.3041258122411431</v>
      </c>
      <c r="E262" s="43">
        <f t="shared" si="27"/>
        <v>0.3611918412977808</v>
      </c>
      <c r="F262" s="43">
        <f t="shared" si="28"/>
        <v>0.04200000000000009</v>
      </c>
    </row>
    <row r="263" spans="2:6" ht="0.75" customHeight="1">
      <c r="B263" s="39">
        <f t="shared" si="29"/>
        <v>0.3100000000000001</v>
      </c>
      <c r="C263" s="43">
        <f t="shared" si="25"/>
        <v>0.21390000000000006</v>
      </c>
      <c r="D263" s="43">
        <f t="shared" si="26"/>
        <v>0.30805181530535564</v>
      </c>
      <c r="E263" s="43">
        <f t="shared" si="27"/>
        <v>0.363066724265913</v>
      </c>
      <c r="F263" s="43">
        <f t="shared" si="28"/>
        <v>0.051336000000000104</v>
      </c>
    </row>
    <row r="264" spans="2:6" ht="0.75" customHeight="1">
      <c r="B264" s="39">
        <f t="shared" si="29"/>
        <v>0.3200000000000001</v>
      </c>
      <c r="C264" s="43">
        <f aca="true" t="shared" si="30" ref="C264:C295">$C$227*B264*(1-B264/$C$228)</f>
        <v>0.21760000000000007</v>
      </c>
      <c r="D264" s="43">
        <f aca="true" t="shared" si="31" ref="D264:D295">B264*((EXP($E$227*(1-B264/$E$228)))-1)</f>
        <v>0.3116408743137433</v>
      </c>
      <c r="E264" s="43">
        <f aca="true" t="shared" si="32" ref="E264:E295">$G$227*B264*(LN($G$228/B264))</f>
        <v>0.3646189706202767</v>
      </c>
      <c r="F264" s="43">
        <f aca="true" t="shared" si="33" ref="F264:F295">$I$227*B264*((B264/$I$229)-1)*(1-B264/$I$228)</f>
        <v>0.060928000000000114</v>
      </c>
    </row>
    <row r="265" spans="2:6" ht="0.75" customHeight="1">
      <c r="B265" s="39">
        <f aca="true" t="shared" si="34" ref="B265:B300">B264+0.01</f>
        <v>0.3300000000000001</v>
      </c>
      <c r="C265" s="43">
        <f t="shared" si="30"/>
        <v>0.22110000000000007</v>
      </c>
      <c r="D265" s="43">
        <f t="shared" si="31"/>
        <v>0.3148983158098601</v>
      </c>
      <c r="E265" s="43">
        <f t="shared" si="32"/>
        <v>0.3658586660921317</v>
      </c>
      <c r="F265" s="43">
        <f t="shared" si="33"/>
        <v>0.07075200000000013</v>
      </c>
    </row>
    <row r="266" spans="2:6" ht="0.75" customHeight="1">
      <c r="B266" s="39">
        <f t="shared" si="34"/>
        <v>0.34000000000000014</v>
      </c>
      <c r="C266" s="43">
        <f t="shared" si="30"/>
        <v>0.22440000000000007</v>
      </c>
      <c r="D266" s="43">
        <f t="shared" si="31"/>
        <v>0.31782939369669083</v>
      </c>
      <c r="E266" s="43">
        <f t="shared" si="32"/>
        <v>0.3667952848664562</v>
      </c>
      <c r="F266" s="43">
        <f t="shared" si="33"/>
        <v>0.08078400000000015</v>
      </c>
    </row>
    <row r="267" spans="2:6" ht="0.75" customHeight="1">
      <c r="B267" s="39">
        <f t="shared" si="34"/>
        <v>0.35000000000000014</v>
      </c>
      <c r="C267" s="43">
        <f t="shared" si="30"/>
        <v>0.22750000000000006</v>
      </c>
      <c r="D267" s="43">
        <f t="shared" si="31"/>
        <v>0.3204392901548637</v>
      </c>
      <c r="E267" s="43">
        <f t="shared" si="32"/>
        <v>0.3674377435745372</v>
      </c>
      <c r="F267" s="43">
        <f t="shared" si="33"/>
        <v>0.09100000000000016</v>
      </c>
    </row>
    <row r="268" spans="2:6" ht="0.75" customHeight="1">
      <c r="B268" s="39">
        <f t="shared" si="34"/>
        <v>0.36000000000000015</v>
      </c>
      <c r="C268" s="43">
        <f t="shared" si="30"/>
        <v>0.23040000000000005</v>
      </c>
      <c r="D268" s="43">
        <f t="shared" si="31"/>
        <v>0.3227331165497826</v>
      </c>
      <c r="E268" s="43">
        <f t="shared" si="32"/>
        <v>0.3677944491115133</v>
      </c>
      <c r="F268" s="43">
        <f t="shared" si="33"/>
        <v>0.10137600000000017</v>
      </c>
    </row>
    <row r="269" spans="2:6" ht="0.75" customHeight="1">
      <c r="B269" s="39">
        <f t="shared" si="34"/>
        <v>0.37000000000000016</v>
      </c>
      <c r="C269" s="43">
        <f t="shared" si="30"/>
        <v>0.23310000000000006</v>
      </c>
      <c r="D269" s="43">
        <f t="shared" si="31"/>
        <v>0.32471591432780705</v>
      </c>
      <c r="E269" s="43">
        <f t="shared" si="32"/>
        <v>0.36787334113723075</v>
      </c>
      <c r="F269" s="43">
        <f t="shared" si="33"/>
        <v>0.11188800000000018</v>
      </c>
    </row>
    <row r="270" spans="2:6" ht="0.75" customHeight="1">
      <c r="B270" s="39">
        <f t="shared" si="34"/>
        <v>0.38000000000000017</v>
      </c>
      <c r="C270" s="43">
        <f t="shared" si="30"/>
        <v>0.23560000000000006</v>
      </c>
      <c r="D270" s="43">
        <f t="shared" si="31"/>
        <v>0.32639265590161004</v>
      </c>
      <c r="E270" s="43">
        <f t="shared" si="32"/>
        <v>0.3676819299794481</v>
      </c>
      <c r="F270" s="43">
        <f t="shared" si="33"/>
        <v>0.1225120000000002</v>
      </c>
    </row>
    <row r="271" spans="2:6" ht="0.75" customHeight="1">
      <c r="B271" s="39">
        <f t="shared" si="34"/>
        <v>0.3900000000000002</v>
      </c>
      <c r="C271" s="43">
        <f t="shared" si="30"/>
        <v>0.23790000000000006</v>
      </c>
      <c r="D271" s="43">
        <f t="shared" si="31"/>
        <v>0.32776824552483863</v>
      </c>
      <c r="E271" s="43">
        <f t="shared" si="32"/>
        <v>0.3672273305447935</v>
      </c>
      <c r="F271" s="43">
        <f t="shared" si="33"/>
        <v>0.1332240000000002</v>
      </c>
    </row>
    <row r="272" spans="2:6" ht="0.75" customHeight="1">
      <c r="B272" s="39">
        <f t="shared" si="34"/>
        <v>0.4000000000000002</v>
      </c>
      <c r="C272" s="43">
        <f t="shared" si="30"/>
        <v>0.24000000000000005</v>
      </c>
      <c r="D272" s="43">
        <f t="shared" si="31"/>
        <v>0.3288475201562036</v>
      </c>
      <c r="E272" s="43">
        <f t="shared" si="32"/>
        <v>0.366516292749662</v>
      </c>
      <c r="F272" s="43">
        <f t="shared" si="33"/>
        <v>0.1440000000000002</v>
      </c>
    </row>
    <row r="273" spans="2:6" ht="0.75" customHeight="1">
      <c r="B273" s="39">
        <f t="shared" si="34"/>
        <v>0.4100000000000002</v>
      </c>
      <c r="C273" s="43">
        <f t="shared" si="30"/>
        <v>0.24190000000000006</v>
      </c>
      <c r="D273" s="43">
        <f t="shared" si="31"/>
        <v>0.3296352503131214</v>
      </c>
      <c r="E273" s="43">
        <f t="shared" si="32"/>
        <v>0.36555522890635117</v>
      </c>
      <c r="F273" s="43">
        <f t="shared" si="33"/>
        <v>0.15481600000000023</v>
      </c>
    </row>
    <row r="274" spans="2:6" ht="0.75" customHeight="1">
      <c r="B274" s="39">
        <f t="shared" si="34"/>
        <v>0.4200000000000002</v>
      </c>
      <c r="C274" s="43">
        <f t="shared" si="30"/>
        <v>0.24360000000000007</v>
      </c>
      <c r="D274" s="43">
        <f t="shared" si="31"/>
        <v>0.3301361409150309</v>
      </c>
      <c r="E274" s="43">
        <f t="shared" si="32"/>
        <v>0.36435023843598363</v>
      </c>
      <c r="F274" s="43">
        <f t="shared" si="33"/>
        <v>0.16564800000000024</v>
      </c>
    </row>
    <row r="275" spans="2:6" ht="0.75" customHeight="1">
      <c r="B275" s="39">
        <f t="shared" si="34"/>
        <v>0.4300000000000002</v>
      </c>
      <c r="C275" s="43">
        <f t="shared" si="30"/>
        <v>0.24510000000000007</v>
      </c>
      <c r="D275" s="43">
        <f t="shared" si="31"/>
        <v>0.3303548321165062</v>
      </c>
      <c r="E275" s="43">
        <f t="shared" si="32"/>
        <v>0.3629071302266474</v>
      </c>
      <c r="F275" s="43">
        <f t="shared" si="33"/>
        <v>0.17647200000000027</v>
      </c>
    </row>
    <row r="276" spans="2:6" ht="0.75" customHeight="1">
      <c r="B276" s="39">
        <f t="shared" si="34"/>
        <v>0.4400000000000002</v>
      </c>
      <c r="C276" s="43">
        <f t="shared" si="30"/>
        <v>0.24640000000000006</v>
      </c>
      <c r="D276" s="43">
        <f t="shared" si="31"/>
        <v>0.33029590013028454</v>
      </c>
      <c r="E276" s="43">
        <f t="shared" si="32"/>
        <v>0.36123144291072523</v>
      </c>
      <c r="F276" s="43">
        <f t="shared" si="33"/>
        <v>0.18726400000000026</v>
      </c>
    </row>
    <row r="277" spans="2:6" ht="0.75" customHeight="1">
      <c r="B277" s="39">
        <f t="shared" si="34"/>
        <v>0.45000000000000023</v>
      </c>
      <c r="C277" s="43">
        <f t="shared" si="30"/>
        <v>0.24750000000000005</v>
      </c>
      <c r="D277" s="43">
        <f t="shared" si="31"/>
        <v>0.32996385804032785</v>
      </c>
      <c r="E277" s="43">
        <f t="shared" si="32"/>
        <v>0.35932846329799717</v>
      </c>
      <c r="F277" s="43">
        <f t="shared" si="33"/>
        <v>0.19800000000000026</v>
      </c>
    </row>
    <row r="278" spans="2:6" ht="0.75" customHeight="1">
      <c r="B278" s="39">
        <f t="shared" si="34"/>
        <v>0.46000000000000024</v>
      </c>
      <c r="C278" s="43">
        <f t="shared" si="30"/>
        <v>0.24840000000000004</v>
      </c>
      <c r="D278" s="43">
        <f t="shared" si="31"/>
        <v>0.3293631566050349</v>
      </c>
      <c r="E278" s="43">
        <f t="shared" si="32"/>
        <v>0.35720324316953833</v>
      </c>
      <c r="F278" s="43">
        <f t="shared" si="33"/>
        <v>0.20865600000000026</v>
      </c>
    </row>
    <row r="279" spans="2:6" ht="0.75" customHeight="1">
      <c r="B279" s="39">
        <f t="shared" si="34"/>
        <v>0.47000000000000025</v>
      </c>
      <c r="C279" s="43">
        <f t="shared" si="30"/>
        <v>0.24910000000000004</v>
      </c>
      <c r="D279" s="43">
        <f t="shared" si="31"/>
        <v>0.32849818505071887</v>
      </c>
      <c r="E279" s="43">
        <f t="shared" si="32"/>
        <v>0.3548606146106754</v>
      </c>
      <c r="F279" s="43">
        <f t="shared" si="33"/>
        <v>0.2192080000000003</v>
      </c>
    </row>
    <row r="280" spans="2:6" ht="0.75" customHeight="1">
      <c r="B280" s="39">
        <f t="shared" si="34"/>
        <v>0.48000000000000026</v>
      </c>
      <c r="C280" s="43">
        <f t="shared" si="30"/>
        <v>0.24960000000000004</v>
      </c>
      <c r="D280" s="43">
        <f t="shared" si="31"/>
        <v>0.32737327185546544</v>
      </c>
      <c r="E280" s="43">
        <f t="shared" si="32"/>
        <v>0.35230520403849613</v>
      </c>
      <c r="F280" s="43">
        <f t="shared" si="33"/>
        <v>0.22963200000000028</v>
      </c>
    </row>
    <row r="281" spans="2:6" ht="0.75" customHeight="1">
      <c r="B281" s="39">
        <f t="shared" si="34"/>
        <v>0.49000000000000027</v>
      </c>
      <c r="C281" s="43">
        <f t="shared" si="30"/>
        <v>0.24990000000000004</v>
      </c>
      <c r="D281" s="43">
        <f t="shared" si="31"/>
        <v>0.3259926855234843</v>
      </c>
      <c r="E281" s="43">
        <f t="shared" si="32"/>
        <v>0.3495414450599576</v>
      </c>
      <c r="F281" s="43">
        <f t="shared" si="33"/>
        <v>0.23990400000000028</v>
      </c>
    </row>
    <row r="282" spans="2:6" ht="0.75" customHeight="1">
      <c r="B282" s="39">
        <f t="shared" si="34"/>
        <v>0.5000000000000002</v>
      </c>
      <c r="C282" s="43">
        <f t="shared" si="30"/>
        <v>0.25</v>
      </c>
      <c r="D282" s="43">
        <f t="shared" si="31"/>
        <v>0.32436063535006404</v>
      </c>
      <c r="E282" s="43">
        <f t="shared" si="32"/>
        <v>0.3465735902799726</v>
      </c>
      <c r="F282" s="43">
        <f t="shared" si="33"/>
        <v>0.2500000000000002</v>
      </c>
    </row>
    <row r="283" spans="2:6" ht="0.75" customHeight="1">
      <c r="B283" s="39">
        <f t="shared" si="34"/>
        <v>0.5100000000000002</v>
      </c>
      <c r="C283" s="43">
        <f t="shared" si="30"/>
        <v>0.24989999999999998</v>
      </c>
      <c r="D283" s="43">
        <f t="shared" si="31"/>
        <v>0.32248127217724326</v>
      </c>
      <c r="E283" s="43">
        <f t="shared" si="32"/>
        <v>0.34340572216452037</v>
      </c>
      <c r="F283" s="43">
        <f t="shared" si="33"/>
        <v>0.25989600000000024</v>
      </c>
    </row>
    <row r="284" spans="2:6" ht="0.75" customHeight="1">
      <c r="B284" s="39">
        <f t="shared" si="34"/>
        <v>0.5200000000000002</v>
      </c>
      <c r="C284" s="43">
        <f t="shared" si="30"/>
        <v>0.2496</v>
      </c>
      <c r="D284" s="43">
        <f t="shared" si="31"/>
        <v>0.3203586891403045</v>
      </c>
      <c r="E284" s="43">
        <f t="shared" si="32"/>
        <v>0.3400417630514652</v>
      </c>
      <c r="F284" s="43">
        <f t="shared" si="33"/>
        <v>0.26956800000000025</v>
      </c>
    </row>
    <row r="285" spans="2:6" ht="0.75" customHeight="1">
      <c r="B285" s="39">
        <f t="shared" si="34"/>
        <v>0.5300000000000002</v>
      </c>
      <c r="C285" s="43">
        <f t="shared" si="30"/>
        <v>0.2491</v>
      </c>
      <c r="D285" s="43">
        <f t="shared" si="31"/>
        <v>0.31799692240520083</v>
      </c>
      <c r="E285" s="43">
        <f t="shared" si="32"/>
        <v>0.33648548439106374</v>
      </c>
      <c r="F285" s="43">
        <f t="shared" si="33"/>
        <v>0.27899200000000024</v>
      </c>
    </row>
    <row r="286" spans="2:6" ht="0.75" customHeight="1">
      <c r="B286" s="39">
        <f t="shared" si="34"/>
        <v>0.5400000000000003</v>
      </c>
      <c r="C286" s="43">
        <f t="shared" si="30"/>
        <v>0.24839999999999998</v>
      </c>
      <c r="D286" s="43">
        <f t="shared" si="31"/>
        <v>0.3153999518970201</v>
      </c>
      <c r="E286" s="43">
        <f t="shared" si="32"/>
        <v>0.33274051528886106</v>
      </c>
      <c r="F286" s="43">
        <f t="shared" si="33"/>
        <v>0.28814400000000023</v>
      </c>
    </row>
    <row r="287" spans="2:6" ht="0.75" customHeight="1">
      <c r="B287" s="39">
        <f t="shared" si="34"/>
        <v>0.5500000000000003</v>
      </c>
      <c r="C287" s="43">
        <f t="shared" si="30"/>
        <v>0.24749999999999997</v>
      </c>
      <c r="D287" s="43">
        <f t="shared" si="31"/>
        <v>0.31257170201959283</v>
      </c>
      <c r="E287" s="43">
        <f t="shared" si="32"/>
        <v>0.32881035041559115</v>
      </c>
      <c r="F287" s="43">
        <f t="shared" si="33"/>
        <v>0.29700000000000026</v>
      </c>
    </row>
    <row r="288" spans="2:6" ht="0.75" customHeight="1">
      <c r="B288" s="39">
        <f t="shared" si="34"/>
        <v>0.5600000000000003</v>
      </c>
      <c r="C288" s="43">
        <f t="shared" si="30"/>
        <v>0.24639999999999998</v>
      </c>
      <c r="D288" s="43">
        <f t="shared" si="31"/>
        <v>0.30951604236634805</v>
      </c>
      <c r="E288" s="43">
        <f t="shared" si="32"/>
        <v>0.32469835734164754</v>
      </c>
      <c r="F288" s="43">
        <f t="shared" si="33"/>
        <v>0.3055360000000002</v>
      </c>
    </row>
    <row r="289" spans="2:6" ht="0.75" customHeight="1">
      <c r="B289" s="39">
        <f t="shared" si="34"/>
        <v>0.5700000000000003</v>
      </c>
      <c r="C289" s="43">
        <f t="shared" si="30"/>
        <v>0.24509999999999996</v>
      </c>
      <c r="D289" s="43">
        <f t="shared" si="31"/>
        <v>0.30623678842252033</v>
      </c>
      <c r="E289" s="43">
        <f t="shared" si="32"/>
        <v>0.32040778334751835</v>
      </c>
      <c r="F289" s="43">
        <f t="shared" si="33"/>
        <v>0.31372800000000023</v>
      </c>
    </row>
    <row r="290" spans="2:6" ht="0.75" customHeight="1">
      <c r="B290" s="39">
        <f t="shared" si="34"/>
        <v>0.5800000000000003</v>
      </c>
      <c r="C290" s="43">
        <f t="shared" si="30"/>
        <v>0.24359999999999996</v>
      </c>
      <c r="D290" s="43">
        <f t="shared" si="31"/>
        <v>0.30273770225880753</v>
      </c>
      <c r="E290" s="43">
        <f t="shared" si="32"/>
        <v>0.31594176175616967</v>
      </c>
      <c r="F290" s="43">
        <f t="shared" si="33"/>
        <v>0.3215520000000002</v>
      </c>
    </row>
    <row r="291" spans="2:6" ht="0.75" customHeight="1">
      <c r="B291" s="39">
        <f t="shared" si="34"/>
        <v>0.5900000000000003</v>
      </c>
      <c r="C291" s="43">
        <f t="shared" si="30"/>
        <v>0.24189999999999995</v>
      </c>
      <c r="D291" s="43">
        <f t="shared" si="31"/>
        <v>0.2990224932165834</v>
      </c>
      <c r="E291" s="43">
        <f t="shared" si="32"/>
        <v>0.3113033178285992</v>
      </c>
      <c r="F291" s="43">
        <f t="shared" si="33"/>
        <v>0.3289840000000002</v>
      </c>
    </row>
    <row r="292" spans="2:6" ht="0.75" customHeight="1">
      <c r="B292" s="39">
        <f t="shared" si="34"/>
        <v>0.6000000000000003</v>
      </c>
      <c r="C292" s="43">
        <f t="shared" si="30"/>
        <v>0.23999999999999994</v>
      </c>
      <c r="D292" s="43">
        <f t="shared" si="31"/>
        <v>0.2950948185847621</v>
      </c>
      <c r="E292" s="43">
        <f t="shared" si="32"/>
        <v>0.3064953742595943</v>
      </c>
      <c r="F292" s="43">
        <f t="shared" si="33"/>
        <v>0.3360000000000002</v>
      </c>
    </row>
    <row r="293" spans="2:6" ht="0.75" customHeight="1">
      <c r="B293" s="39">
        <f t="shared" si="34"/>
        <v>0.6100000000000003</v>
      </c>
      <c r="C293" s="43">
        <f t="shared" si="30"/>
        <v>0.23789999999999992</v>
      </c>
      <c r="D293" s="43">
        <f t="shared" si="31"/>
        <v>0.2909582842684118</v>
      </c>
      <c r="E293" s="43">
        <f t="shared" si="32"/>
        <v>0.30152075630701575</v>
      </c>
      <c r="F293" s="43">
        <f t="shared" si="33"/>
        <v>0.3425760000000002</v>
      </c>
    </row>
    <row r="294" spans="2:6" ht="0.75" customHeight="1">
      <c r="B294" s="39">
        <f t="shared" si="34"/>
        <v>0.6200000000000003</v>
      </c>
      <c r="C294" s="43">
        <f t="shared" si="30"/>
        <v>0.23559999999999992</v>
      </c>
      <c r="D294" s="43">
        <f t="shared" si="31"/>
        <v>0.28661644544921905</v>
      </c>
      <c r="E294" s="43">
        <f t="shared" si="32"/>
        <v>0.29638219658465975</v>
      </c>
      <c r="F294" s="43">
        <f t="shared" si="33"/>
        <v>0.3486880000000002</v>
      </c>
    </row>
    <row r="295" spans="2:6" ht="0.75" customHeight="1">
      <c r="B295" s="39">
        <f t="shared" si="34"/>
        <v>0.6300000000000003</v>
      </c>
      <c r="C295" s="43">
        <f t="shared" si="30"/>
        <v>0.23309999999999992</v>
      </c>
      <c r="D295" s="43">
        <f t="shared" si="31"/>
        <v>0.2820728072378942</v>
      </c>
      <c r="E295" s="43">
        <f t="shared" si="32"/>
        <v>0.29108233954583185</v>
      </c>
      <c r="F295" s="43">
        <f t="shared" si="33"/>
        <v>0.3543120000000002</v>
      </c>
    </row>
    <row r="296" spans="2:6" ht="0.75" customHeight="1">
      <c r="B296" s="39">
        <f t="shared" si="34"/>
        <v>0.6400000000000003</v>
      </c>
      <c r="C296" s="43">
        <f aca="true" t="shared" si="35" ref="C296:C327">$C$227*B296*(1-B296/$C$228)</f>
        <v>0.2303999999999999</v>
      </c>
      <c r="D296" s="43">
        <f aca="true" t="shared" si="36" ref="D296:D332">B296*((EXP($E$227*(1-B296/$E$228)))-1)</f>
        <v>0.2773308253186175</v>
      </c>
      <c r="E296" s="43">
        <f aca="true" t="shared" si="37" ref="E296:E332">$G$227*B296*(LN($G$228/B296))</f>
        <v>0.2856237456821883</v>
      </c>
      <c r="F296" s="43">
        <f aca="true" t="shared" si="38" ref="F296:F332">$I$227*B296*((B296/$I$229)-1)*(1-B296/$I$228)</f>
        <v>0.35942400000000013</v>
      </c>
    </row>
    <row r="297" spans="2:6" ht="0.75" customHeight="1">
      <c r="B297" s="39">
        <f t="shared" si="34"/>
        <v>0.6500000000000004</v>
      </c>
      <c r="C297" s="43">
        <f t="shared" si="35"/>
        <v>0.2274999999999999</v>
      </c>
      <c r="D297" s="43">
        <f t="shared" si="36"/>
        <v>0.27239390658561696</v>
      </c>
      <c r="E297" s="43">
        <f t="shared" si="37"/>
        <v>0.28000889546009505</v>
      </c>
      <c r="F297" s="43">
        <f t="shared" si="38"/>
        <v>0.3640000000000002</v>
      </c>
    </row>
    <row r="298" spans="2:6" ht="0.75" customHeight="1">
      <c r="B298" s="39">
        <f t="shared" si="34"/>
        <v>0.6600000000000004</v>
      </c>
      <c r="C298" s="43">
        <f t="shared" si="35"/>
        <v>0.22439999999999988</v>
      </c>
      <c r="D298" s="43">
        <f t="shared" si="36"/>
        <v>0.2672654097719717</v>
      </c>
      <c r="E298" s="43">
        <f t="shared" si="37"/>
        <v>0.2742401930146992</v>
      </c>
      <c r="F298" s="43">
        <f t="shared" si="38"/>
        <v>0.3680160000000001</v>
      </c>
    </row>
    <row r="299" spans="2:6" ht="0.75" customHeight="1">
      <c r="B299" s="39">
        <f t="shared" si="34"/>
        <v>0.6700000000000004</v>
      </c>
      <c r="C299" s="43">
        <f t="shared" si="35"/>
        <v>0.22109999999999988</v>
      </c>
      <c r="D299" s="43">
        <f t="shared" si="36"/>
        <v>0.26194864607073265</v>
      </c>
      <c r="E299" s="43">
        <f t="shared" si="37"/>
        <v>0.2683199696200737</v>
      </c>
      <c r="F299" s="43">
        <f t="shared" si="38"/>
        <v>0.37144800000000017</v>
      </c>
    </row>
    <row r="300" spans="2:6" ht="0.75" customHeight="1">
      <c r="B300" s="39">
        <f t="shared" si="34"/>
        <v>0.6800000000000004</v>
      </c>
      <c r="C300" s="43">
        <f t="shared" si="35"/>
        <v>0.21759999999999985</v>
      </c>
      <c r="D300" s="43">
        <f t="shared" si="36"/>
        <v>0.2564468797484506</v>
      </c>
      <c r="E300" s="43">
        <f t="shared" si="37"/>
        <v>0.26225048695214936</v>
      </c>
      <c r="F300" s="43">
        <f t="shared" si="38"/>
        <v>0.3742720000000001</v>
      </c>
    </row>
    <row r="301" spans="2:6" ht="0.75" customHeight="1">
      <c r="B301" s="39">
        <f aca="true" t="shared" si="39" ref="B301:B330">B300+0.01</f>
        <v>0.6900000000000004</v>
      </c>
      <c r="C301" s="43">
        <f t="shared" si="35"/>
        <v>0.21389999999999984</v>
      </c>
      <c r="D301" s="43">
        <f t="shared" si="36"/>
        <v>0.2507633287512024</v>
      </c>
      <c r="E301" s="43">
        <f t="shared" si="37"/>
        <v>0.2560339401596738</v>
      </c>
      <c r="F301" s="43">
        <f t="shared" si="38"/>
        <v>0.3764640000000001</v>
      </c>
    </row>
    <row r="302" spans="2:6" ht="0.75" customHeight="1">
      <c r="B302" s="39">
        <f t="shared" si="39"/>
        <v>0.7000000000000004</v>
      </c>
      <c r="C302" s="43">
        <f t="shared" si="35"/>
        <v>0.20999999999999985</v>
      </c>
      <c r="D302" s="43">
        <f t="shared" si="36"/>
        <v>0.2449011653032019</v>
      </c>
      <c r="E302" s="43">
        <f t="shared" si="37"/>
        <v>0.24967246075711239</v>
      </c>
      <c r="F302" s="43">
        <f t="shared" si="38"/>
        <v>0.37800000000000006</v>
      </c>
    </row>
    <row r="303" spans="2:6" ht="0.75" customHeight="1">
      <c r="B303" s="39">
        <f t="shared" si="39"/>
        <v>0.7100000000000004</v>
      </c>
      <c r="C303" s="43">
        <f t="shared" si="35"/>
        <v>0.20589999999999983</v>
      </c>
      <c r="D303" s="43">
        <f t="shared" si="36"/>
        <v>0.238863516498085</v>
      </c>
      <c r="E303" s="43">
        <f t="shared" si="37"/>
        <v>0.24316811935221067</v>
      </c>
      <c r="F303" s="43">
        <f t="shared" si="38"/>
        <v>0.378856</v>
      </c>
    </row>
    <row r="304" spans="2:6" ht="0.75" customHeight="1">
      <c r="B304" s="39">
        <f t="shared" si="39"/>
        <v>0.7200000000000004</v>
      </c>
      <c r="C304" s="43">
        <f t="shared" si="35"/>
        <v>0.2015999999999998</v>
      </c>
      <c r="D304" s="43">
        <f t="shared" si="36"/>
        <v>0.23265346488295435</v>
      </c>
      <c r="E304" s="43">
        <f t="shared" si="37"/>
        <v>0.23652292821986573</v>
      </c>
      <c r="F304" s="43">
        <f t="shared" si="38"/>
        <v>0.37900799999999996</v>
      </c>
    </row>
    <row r="305" spans="2:6" ht="0.75" customHeight="1">
      <c r="B305" s="39">
        <f t="shared" si="39"/>
        <v>0.7300000000000004</v>
      </c>
      <c r="C305" s="43">
        <f t="shared" si="35"/>
        <v>0.1970999999999998</v>
      </c>
      <c r="D305" s="43">
        <f t="shared" si="36"/>
        <v>0.22627404903527035</v>
      </c>
      <c r="E305" s="43">
        <f t="shared" si="37"/>
        <v>0.2297388437329809</v>
      </c>
      <c r="F305" s="43">
        <f t="shared" si="38"/>
        <v>0.37843199999999994</v>
      </c>
    </row>
    <row r="306" spans="2:6" ht="0.75" customHeight="1">
      <c r="B306" s="39">
        <f t="shared" si="39"/>
        <v>0.7400000000000004</v>
      </c>
      <c r="C306" s="43">
        <f t="shared" si="35"/>
        <v>0.1923999999999998</v>
      </c>
      <c r="D306" s="43">
        <f t="shared" si="36"/>
        <v>0.21972826413267077</v>
      </c>
      <c r="E306" s="43">
        <f t="shared" si="37"/>
        <v>0.22281776866010175</v>
      </c>
      <c r="F306" s="43">
        <f t="shared" si="38"/>
        <v>0.37710399999999994</v>
      </c>
    </row>
    <row r="307" spans="2:6" ht="0.75" customHeight="1">
      <c r="B307" s="39">
        <f t="shared" si="39"/>
        <v>0.7500000000000004</v>
      </c>
      <c r="C307" s="43">
        <f t="shared" si="35"/>
        <v>0.18749999999999978</v>
      </c>
      <c r="D307" s="43">
        <f t="shared" si="36"/>
        <v>0.21301906251580585</v>
      </c>
      <c r="E307" s="43">
        <f t="shared" si="37"/>
        <v>0.2157615543388354</v>
      </c>
      <c r="F307" s="43">
        <f t="shared" si="38"/>
        <v>0.3749999999999999</v>
      </c>
    </row>
    <row r="308" spans="2:6" ht="0.75" customHeight="1">
      <c r="B308" s="39">
        <f t="shared" si="39"/>
        <v>0.7600000000000005</v>
      </c>
      <c r="C308" s="43">
        <f t="shared" si="35"/>
        <v>0.18239999999999976</v>
      </c>
      <c r="D308" s="43">
        <f t="shared" si="36"/>
        <v>0.20614935424426722</v>
      </c>
      <c r="E308" s="43">
        <f t="shared" si="37"/>
        <v>0.20857200273333748</v>
      </c>
      <c r="F308" s="43">
        <f t="shared" si="38"/>
        <v>0.3720959999999998</v>
      </c>
    </row>
    <row r="309" spans="2:6" ht="0.75" customHeight="1">
      <c r="B309" s="39">
        <f t="shared" si="39"/>
        <v>0.7700000000000005</v>
      </c>
      <c r="C309" s="43">
        <f t="shared" si="35"/>
        <v>0.17709999999999976</v>
      </c>
      <c r="D309" s="43">
        <f t="shared" si="36"/>
        <v>0.19912200764569754</v>
      </c>
      <c r="E309" s="43">
        <f t="shared" si="37"/>
        <v>0.20125086838349351</v>
      </c>
      <c r="F309" s="43">
        <f t="shared" si="38"/>
        <v>0.3683679999999998</v>
      </c>
    </row>
    <row r="310" spans="2:6" ht="0.75" customHeight="1">
      <c r="B310" s="39">
        <f t="shared" si="39"/>
        <v>0.7800000000000005</v>
      </c>
      <c r="C310" s="43">
        <f t="shared" si="35"/>
        <v>0.17159999999999972</v>
      </c>
      <c r="D310" s="43">
        <f t="shared" si="36"/>
        <v>0.19193984985815676</v>
      </c>
      <c r="E310" s="43">
        <f t="shared" si="37"/>
        <v>0.19379986025282936</v>
      </c>
      <c r="F310" s="43">
        <f t="shared" si="38"/>
        <v>0.3637919999999997</v>
      </c>
    </row>
    <row r="311" spans="2:6" ht="0.75" customHeight="1">
      <c r="B311" s="39">
        <f t="shared" si="39"/>
        <v>0.7900000000000005</v>
      </c>
      <c r="C311" s="43">
        <f t="shared" si="35"/>
        <v>0.16589999999999971</v>
      </c>
      <c r="D311" s="43">
        <f t="shared" si="36"/>
        <v>0.18460566736582687</v>
      </c>
      <c r="E311" s="43">
        <f t="shared" si="37"/>
        <v>0.18622064348164483</v>
      </c>
      <c r="F311" s="43">
        <f t="shared" si="38"/>
        <v>0.3583439999999997</v>
      </c>
    </row>
    <row r="312" spans="2:6" ht="0.75" customHeight="1">
      <c r="B312" s="39">
        <f t="shared" si="39"/>
        <v>0.8000000000000005</v>
      </c>
      <c r="C312" s="43">
        <f t="shared" si="35"/>
        <v>0.1599999999999997</v>
      </c>
      <c r="D312" s="43">
        <f t="shared" si="36"/>
        <v>0.17712220652813546</v>
      </c>
      <c r="E312" s="43">
        <f t="shared" si="37"/>
        <v>0.17851484105136747</v>
      </c>
      <c r="F312" s="43">
        <f t="shared" si="38"/>
        <v>0.3519999999999997</v>
      </c>
    </row>
    <row r="313" spans="2:6" ht="0.75" customHeight="1">
      <c r="B313" s="39">
        <f t="shared" si="39"/>
        <v>0.8100000000000005</v>
      </c>
      <c r="C313" s="43">
        <f t="shared" si="35"/>
        <v>0.1538999999999997</v>
      </c>
      <c r="D313" s="43">
        <f t="shared" si="36"/>
        <v>0.16949217410237327</v>
      </c>
      <c r="E313" s="43">
        <f t="shared" si="37"/>
        <v>0.17068403536567822</v>
      </c>
      <c r="F313" s="43">
        <f t="shared" si="38"/>
        <v>0.3447359999999996</v>
      </c>
    </row>
    <row r="314" spans="2:6" ht="0.75" customHeight="1">
      <c r="B314" s="39">
        <f t="shared" si="39"/>
        <v>0.8200000000000005</v>
      </c>
      <c r="C314" s="43">
        <f t="shared" si="35"/>
        <v>0.14759999999999968</v>
      </c>
      <c r="D314" s="43">
        <f t="shared" si="36"/>
        <v>0.16171823775988386</v>
      </c>
      <c r="E314" s="43">
        <f t="shared" si="37"/>
        <v>0.162729769753547</v>
      </c>
      <c r="F314" s="43">
        <f t="shared" si="38"/>
        <v>0.33652799999999955</v>
      </c>
    </row>
    <row r="315" spans="2:6" ht="0.75" customHeight="1">
      <c r="B315" s="39">
        <f t="shared" si="39"/>
        <v>0.8300000000000005</v>
      </c>
      <c r="C315" s="43">
        <f t="shared" si="35"/>
        <v>0.14109999999999967</v>
      </c>
      <c r="D315" s="43">
        <f t="shared" si="36"/>
        <v>0.15380302659590306</v>
      </c>
      <c r="E315" s="43">
        <f t="shared" si="37"/>
        <v>0.15465354989893912</v>
      </c>
      <c r="F315" s="43">
        <f t="shared" si="38"/>
        <v>0.3273519999999995</v>
      </c>
    </row>
    <row r="316" spans="2:6" ht="0.75" customHeight="1">
      <c r="B316" s="39">
        <f t="shared" si="39"/>
        <v>0.8400000000000005</v>
      </c>
      <c r="C316" s="43">
        <f t="shared" si="35"/>
        <v>0.13439999999999963</v>
      </c>
      <c r="D316" s="43">
        <f t="shared" si="36"/>
        <v>0.14574913163312017</v>
      </c>
      <c r="E316" s="43">
        <f t="shared" si="37"/>
        <v>0.14645684520161292</v>
      </c>
      <c r="F316" s="43">
        <f t="shared" si="38"/>
        <v>0.31718399999999947</v>
      </c>
    </row>
    <row r="317" spans="2:6" ht="0.75" customHeight="1">
      <c r="B317" s="39">
        <f t="shared" si="39"/>
        <v>0.8500000000000005</v>
      </c>
      <c r="C317" s="43">
        <f t="shared" si="35"/>
        <v>0.1274999999999996</v>
      </c>
      <c r="D317" s="43">
        <f t="shared" si="36"/>
        <v>0.13755910631904011</v>
      </c>
      <c r="E317" s="43">
        <f t="shared" si="37"/>
        <v>0.13814109007310832</v>
      </c>
      <c r="F317" s="43">
        <f t="shared" si="38"/>
        <v>0.3059999999999994</v>
      </c>
    </row>
    <row r="318" spans="2:6" ht="0.75" customHeight="1">
      <c r="B318" s="39">
        <f t="shared" si="39"/>
        <v>0.8600000000000005</v>
      </c>
      <c r="C318" s="43">
        <f t="shared" si="35"/>
        <v>0.1203999999999996</v>
      </c>
      <c r="D318" s="43">
        <f t="shared" si="36"/>
        <v>0.12923546701721503</v>
      </c>
      <c r="E318" s="43">
        <f t="shared" si="37"/>
        <v>0.12970768517174142</v>
      </c>
      <c r="F318" s="43">
        <f t="shared" si="38"/>
        <v>0.2937759999999993</v>
      </c>
    </row>
    <row r="319" spans="2:6" ht="0.75" customHeight="1">
      <c r="B319" s="39">
        <f t="shared" si="39"/>
        <v>0.8700000000000006</v>
      </c>
      <c r="C319" s="43">
        <f t="shared" si="35"/>
        <v>0.11309999999999959</v>
      </c>
      <c r="D319" s="43">
        <f t="shared" si="36"/>
        <v>0.12078069349242045</v>
      </c>
      <c r="E319" s="43">
        <f t="shared" si="37"/>
        <v>0.12115799858015118</v>
      </c>
      <c r="F319" s="43">
        <f t="shared" si="38"/>
        <v>0.28048799999999924</v>
      </c>
    </row>
    <row r="320" spans="2:6" ht="0.75" customHeight="1">
      <c r="B320" s="39">
        <f t="shared" si="39"/>
        <v>0.8800000000000006</v>
      </c>
      <c r="C320" s="43">
        <f t="shared" si="35"/>
        <v>0.10559999999999957</v>
      </c>
      <c r="D320" s="43">
        <f t="shared" si="36"/>
        <v>0.11219722938985013</v>
      </c>
      <c r="E320" s="43">
        <f t="shared" si="37"/>
        <v>0.11249336692869816</v>
      </c>
      <c r="F320" s="43">
        <f t="shared" si="38"/>
        <v>0.2661119999999992</v>
      </c>
    </row>
    <row r="321" spans="2:6" ht="0.75" customHeight="1">
      <c r="B321" s="39">
        <f t="shared" si="39"/>
        <v>0.8900000000000006</v>
      </c>
      <c r="C321" s="43">
        <f t="shared" si="35"/>
        <v>0.09789999999999956</v>
      </c>
      <c r="D321" s="43">
        <f t="shared" si="36"/>
        <v>0.10348748270839492</v>
      </c>
      <c r="E321" s="43">
        <f t="shared" si="37"/>
        <v>0.1037150964677963</v>
      </c>
      <c r="F321" s="43">
        <f t="shared" si="38"/>
        <v>0.25062399999999907</v>
      </c>
    </row>
    <row r="322" spans="2:6" ht="0.75" customHeight="1">
      <c r="B322" s="39">
        <f t="shared" si="39"/>
        <v>0.9000000000000006</v>
      </c>
      <c r="C322" s="43">
        <f t="shared" si="35"/>
        <v>0.08999999999999954</v>
      </c>
      <c r="D322" s="43">
        <f t="shared" si="36"/>
        <v>0.0946538262680824</v>
      </c>
      <c r="E322" s="43">
        <f t="shared" si="37"/>
        <v>0.09482446409204323</v>
      </c>
      <c r="F322" s="43">
        <f t="shared" si="38"/>
        <v>0.233999999999999</v>
      </c>
    </row>
    <row r="323" spans="2:6" ht="0.75" customHeight="1">
      <c r="B323" s="39">
        <f t="shared" si="39"/>
        <v>0.9100000000000006</v>
      </c>
      <c r="C323" s="43">
        <f t="shared" si="35"/>
        <v>0.08189999999999951</v>
      </c>
      <c r="D323" s="43">
        <f t="shared" si="36"/>
        <v>0.08569859817174093</v>
      </c>
      <c r="E323" s="43">
        <f t="shared" si="37"/>
        <v>0.085822718318829</v>
      </c>
      <c r="F323" s="43">
        <f t="shared" si="38"/>
        <v>0.2162159999999989</v>
      </c>
    </row>
    <row r="324" spans="2:6" ht="0.75" customHeight="1">
      <c r="B324" s="39">
        <f t="shared" si="39"/>
        <v>0.9200000000000006</v>
      </c>
      <c r="C324" s="43">
        <f t="shared" si="35"/>
        <v>0.0735999999999995</v>
      </c>
      <c r="D324" s="43">
        <f t="shared" si="36"/>
        <v>0.07662410226096138</v>
      </c>
      <c r="E324" s="43">
        <f t="shared" si="37"/>
        <v>0.0767110802239264</v>
      </c>
      <c r="F324" s="43">
        <f t="shared" si="38"/>
        <v>0.19724799999999884</v>
      </c>
    </row>
    <row r="325" spans="2:6" ht="0.75" customHeight="1">
      <c r="B325" s="39">
        <f t="shared" si="39"/>
        <v>0.9300000000000006</v>
      </c>
      <c r="C325" s="43">
        <f t="shared" si="35"/>
        <v>0.06509999999999948</v>
      </c>
      <c r="D325" s="43">
        <f t="shared" si="36"/>
        <v>0.0674326085664208</v>
      </c>
      <c r="E325" s="43">
        <f t="shared" si="37"/>
        <v>0.06749074433639636</v>
      </c>
      <c r="F325" s="43">
        <f t="shared" si="38"/>
        <v>0.17707199999999873</v>
      </c>
    </row>
    <row r="326" spans="2:6" ht="0.75" customHeight="1">
      <c r="B326" s="39">
        <f t="shared" si="39"/>
        <v>0.9400000000000006</v>
      </c>
      <c r="C326" s="43">
        <f t="shared" si="35"/>
        <v>0.05639999999999946</v>
      </c>
      <c r="D326" s="43">
        <f t="shared" si="36"/>
        <v>0.05812635375263747</v>
      </c>
      <c r="E326" s="43">
        <f t="shared" si="37"/>
        <v>0.05816287949500166</v>
      </c>
      <c r="F326" s="43">
        <f t="shared" si="38"/>
        <v>0.15566399999999864</v>
      </c>
    </row>
    <row r="327" spans="2:6" ht="0.75" customHeight="1">
      <c r="B327" s="39">
        <f t="shared" si="39"/>
        <v>0.9500000000000006</v>
      </c>
      <c r="C327" s="43">
        <f t="shared" si="35"/>
        <v>0.04749999999999944</v>
      </c>
      <c r="D327" s="43">
        <f t="shared" si="36"/>
        <v>0.04870754155722231</v>
      </c>
      <c r="E327" s="43">
        <f t="shared" si="37"/>
        <v>0.04872862966817238</v>
      </c>
      <c r="F327" s="43">
        <f t="shared" si="38"/>
        <v>0.13299999999999856</v>
      </c>
    </row>
    <row r="328" spans="2:6" ht="0.75" customHeight="1">
      <c r="B328" s="39">
        <f t="shared" si="39"/>
        <v>0.9600000000000006</v>
      </c>
      <c r="C328" s="43">
        <f>$C$227*B328*(1-B328/$C$228)</f>
        <v>0.03839999999999942</v>
      </c>
      <c r="D328" s="43">
        <f t="shared" si="36"/>
        <v>0.03917834322469207</v>
      </c>
      <c r="E328" s="43">
        <f t="shared" si="37"/>
        <v>0.039189114739444406</v>
      </c>
      <c r="F328" s="43">
        <f t="shared" si="38"/>
        <v>0.10905599999999846</v>
      </c>
    </row>
    <row r="329" spans="2:6" ht="0.75" customHeight="1">
      <c r="B329" s="39">
        <f t="shared" si="39"/>
        <v>0.9700000000000006</v>
      </c>
      <c r="C329" s="43">
        <f>$C$227*B329*(1-B329/$C$228)</f>
        <v>0.029099999999999397</v>
      </c>
      <c r="D329" s="43">
        <f t="shared" si="36"/>
        <v>0.0295408979349108</v>
      </c>
      <c r="E329" s="43">
        <f t="shared" si="37"/>
        <v>0.02954543126016658</v>
      </c>
      <c r="F329" s="43">
        <f t="shared" si="38"/>
        <v>0.08380799999999836</v>
      </c>
    </row>
    <row r="330" spans="2:6" ht="0.75" customHeight="1">
      <c r="B330" s="39">
        <f t="shared" si="39"/>
        <v>0.9800000000000006</v>
      </c>
      <c r="C330" s="43">
        <f>$C$227*B330*(1-B330/$C$228)</f>
        <v>0.01959999999999938</v>
      </c>
      <c r="D330" s="43">
        <f t="shared" si="36"/>
        <v>0.019797313226220022</v>
      </c>
      <c r="E330" s="43">
        <f t="shared" si="37"/>
        <v>0.019798653171168454</v>
      </c>
      <c r="F330" s="43">
        <f t="shared" si="38"/>
        <v>0.057231999999998236</v>
      </c>
    </row>
    <row r="331" spans="2:6" ht="0.75" customHeight="1">
      <c r="B331" s="39">
        <f>B330+0.01</f>
        <v>0.9900000000000007</v>
      </c>
      <c r="C331" s="43">
        <f>$C$227*B331*(1-B331/$C$228)</f>
        <v>0.009899999999999355</v>
      </c>
      <c r="D331" s="43">
        <f t="shared" si="36"/>
        <v>0.009949665413325617</v>
      </c>
      <c r="E331" s="43">
        <f t="shared" si="37"/>
        <v>0.009949832494965845</v>
      </c>
      <c r="F331" s="43">
        <f t="shared" si="38"/>
        <v>0.02930399999999812</v>
      </c>
    </row>
    <row r="332" spans="2:6" ht="0.75" customHeight="1">
      <c r="B332" s="39">
        <f>B331+0.01</f>
        <v>1.0000000000000007</v>
      </c>
      <c r="C332" s="43">
        <f aca="true" t="shared" si="40" ref="C332:C349">IF(($C$227*B332*(1-B332/$C$228))&lt;0,0,($C$227*B332*(1-B332/$C$228)))</f>
        <v>0</v>
      </c>
      <c r="D332" s="43">
        <f t="shared" si="36"/>
        <v>-6.661338147750943E-16</v>
      </c>
      <c r="E332" s="43">
        <f t="shared" si="37"/>
        <v>-6.661338147750946E-16</v>
      </c>
      <c r="F332" s="43">
        <f t="shared" si="38"/>
        <v>-1.998401444325285E-15</v>
      </c>
    </row>
    <row r="333" spans="2:6" ht="0.75" customHeight="1">
      <c r="B333" s="39">
        <f aca="true" t="shared" si="41" ref="B333:B340">B332+0.01</f>
        <v>1.0100000000000007</v>
      </c>
      <c r="C333" s="43">
        <f t="shared" si="40"/>
        <v>0</v>
      </c>
      <c r="D333" s="43"/>
      <c r="E333" s="43"/>
      <c r="F333" s="43"/>
    </row>
    <row r="334" spans="2:6" ht="0.75" customHeight="1">
      <c r="B334" s="39">
        <f t="shared" si="41"/>
        <v>1.0200000000000007</v>
      </c>
      <c r="C334" s="43">
        <f t="shared" si="40"/>
        <v>0</v>
      </c>
      <c r="D334" s="43"/>
      <c r="E334" s="43"/>
      <c r="F334" s="43"/>
    </row>
    <row r="335" spans="2:6" ht="0.75" customHeight="1">
      <c r="B335" s="39">
        <f t="shared" si="41"/>
        <v>1.0300000000000007</v>
      </c>
      <c r="C335" s="43">
        <f t="shared" si="40"/>
        <v>0</v>
      </c>
      <c r="D335" s="43"/>
      <c r="E335" s="43"/>
      <c r="F335" s="43"/>
    </row>
    <row r="336" spans="2:6" ht="0.75" customHeight="1">
      <c r="B336" s="39">
        <f t="shared" si="41"/>
        <v>1.0400000000000007</v>
      </c>
      <c r="C336" s="43">
        <f t="shared" si="40"/>
        <v>0</v>
      </c>
      <c r="D336" s="43"/>
      <c r="E336" s="43"/>
      <c r="F336" s="43"/>
    </row>
    <row r="337" spans="2:6" ht="0.75" customHeight="1">
      <c r="B337" s="39">
        <f t="shared" si="41"/>
        <v>1.0500000000000007</v>
      </c>
      <c r="C337" s="43">
        <f t="shared" si="40"/>
        <v>0</v>
      </c>
      <c r="D337" s="43"/>
      <c r="E337" s="43"/>
      <c r="F337" s="43"/>
    </row>
    <row r="338" spans="2:3" ht="0.75" customHeight="1">
      <c r="B338" s="39">
        <f t="shared" si="41"/>
        <v>1.0600000000000007</v>
      </c>
      <c r="C338" s="43">
        <f t="shared" si="40"/>
        <v>0</v>
      </c>
    </row>
    <row r="339" spans="2:3" ht="0.75" customHeight="1">
      <c r="B339" s="39">
        <f t="shared" si="41"/>
        <v>1.0700000000000007</v>
      </c>
      <c r="C339" s="43">
        <f t="shared" si="40"/>
        <v>0</v>
      </c>
    </row>
    <row r="340" spans="2:3" ht="0.75" customHeight="1">
      <c r="B340" s="39">
        <f t="shared" si="41"/>
        <v>1.0800000000000007</v>
      </c>
      <c r="C340" s="43">
        <f t="shared" si="40"/>
        <v>0</v>
      </c>
    </row>
    <row r="341" spans="2:3" ht="0.75" customHeight="1">
      <c r="B341" s="39">
        <f aca="true" t="shared" si="42" ref="B341:B349">B340+0.01</f>
        <v>1.0900000000000007</v>
      </c>
      <c r="C341" s="43">
        <f t="shared" si="40"/>
        <v>0</v>
      </c>
    </row>
    <row r="342" spans="2:3" ht="0.75" customHeight="1">
      <c r="B342" s="39">
        <f t="shared" si="42"/>
        <v>1.1000000000000008</v>
      </c>
      <c r="C342" s="43">
        <f t="shared" si="40"/>
        <v>0</v>
      </c>
    </row>
    <row r="343" spans="2:3" ht="0.75" customHeight="1">
      <c r="B343" s="39">
        <f t="shared" si="42"/>
        <v>1.1100000000000008</v>
      </c>
      <c r="C343" s="43">
        <f t="shared" si="40"/>
        <v>0</v>
      </c>
    </row>
    <row r="344" spans="2:3" ht="0.75" customHeight="1">
      <c r="B344" s="39">
        <f t="shared" si="42"/>
        <v>1.1200000000000008</v>
      </c>
      <c r="C344" s="43">
        <f t="shared" si="40"/>
        <v>0</v>
      </c>
    </row>
    <row r="345" spans="2:3" ht="0.75" customHeight="1">
      <c r="B345" s="39">
        <f t="shared" si="42"/>
        <v>1.1300000000000008</v>
      </c>
      <c r="C345" s="43">
        <f t="shared" si="40"/>
        <v>0</v>
      </c>
    </row>
    <row r="346" spans="2:3" ht="0.75" customHeight="1">
      <c r="B346" s="39">
        <f t="shared" si="42"/>
        <v>1.1400000000000008</v>
      </c>
      <c r="C346" s="43">
        <f t="shared" si="40"/>
        <v>0</v>
      </c>
    </row>
    <row r="347" spans="2:3" ht="0.75" customHeight="1">
      <c r="B347" s="39">
        <f t="shared" si="42"/>
        <v>1.1500000000000008</v>
      </c>
      <c r="C347" s="43">
        <f t="shared" si="40"/>
        <v>0</v>
      </c>
    </row>
    <row r="348" spans="2:3" ht="0.75" customHeight="1">
      <c r="B348" s="39">
        <f t="shared" si="42"/>
        <v>1.1600000000000008</v>
      </c>
      <c r="C348" s="43">
        <f t="shared" si="40"/>
        <v>0</v>
      </c>
    </row>
    <row r="349" spans="2:3" ht="0.75" customHeight="1">
      <c r="B349" s="39">
        <f t="shared" si="42"/>
        <v>1.1700000000000008</v>
      </c>
      <c r="C349" s="43">
        <f t="shared" si="40"/>
        <v>0</v>
      </c>
    </row>
    <row r="350" spans="2:3" ht="15.75">
      <c r="B350" s="39"/>
      <c r="C350" s="43"/>
    </row>
    <row r="351" spans="2:3" ht="16.5" thickBot="1">
      <c r="B351" s="39"/>
      <c r="C351" s="43"/>
    </row>
    <row r="352" spans="4:7" ht="16.5" thickBot="1">
      <c r="D352" s="8"/>
      <c r="E352" s="151" t="s">
        <v>85</v>
      </c>
      <c r="F352" s="152"/>
      <c r="G352" s="132"/>
    </row>
    <row r="353" ht="15.75"/>
    <row r="354" ht="15.75"/>
    <row r="355" ht="15.75">
      <c r="B355" s="1" t="s">
        <v>43</v>
      </c>
    </row>
    <row r="356" ht="15.75">
      <c r="B356" s="1" t="s">
        <v>455</v>
      </c>
    </row>
    <row r="357" ht="15.75"/>
    <row r="358" ht="15.75"/>
    <row r="359" ht="15.75"/>
    <row r="360" ht="27">
      <c r="G360" s="1" t="s">
        <v>203</v>
      </c>
    </row>
    <row r="361" ht="27">
      <c r="G361" s="1" t="s">
        <v>204</v>
      </c>
    </row>
    <row r="362" ht="27">
      <c r="G362" s="1" t="s">
        <v>205</v>
      </c>
    </row>
    <row r="363" ht="27">
      <c r="G363" s="1" t="s">
        <v>206</v>
      </c>
    </row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6.5" thickBot="1"/>
    <row r="375" spans="3:6" ht="13.5" thickBot="1">
      <c r="C375" s="122" t="s">
        <v>435</v>
      </c>
      <c r="D375" s="122" t="s">
        <v>87</v>
      </c>
      <c r="E375" s="122" t="s">
        <v>146</v>
      </c>
      <c r="F375" s="122" t="s">
        <v>197</v>
      </c>
    </row>
    <row r="376" spans="2:6" ht="12.75">
      <c r="B376" s="4" t="s">
        <v>80</v>
      </c>
      <c r="C376" s="149">
        <v>1.9</v>
      </c>
      <c r="D376" s="149">
        <v>2.2</v>
      </c>
      <c r="E376" s="149">
        <v>2.55</v>
      </c>
      <c r="F376" s="149">
        <v>2.9</v>
      </c>
    </row>
    <row r="377" spans="2:6" ht="12.75">
      <c r="B377" s="4" t="s">
        <v>81</v>
      </c>
      <c r="C377" s="149">
        <v>1</v>
      </c>
      <c r="D377" s="149">
        <v>1</v>
      </c>
      <c r="E377" s="149">
        <v>1</v>
      </c>
      <c r="F377" s="149">
        <v>1</v>
      </c>
    </row>
    <row r="378" spans="2:6" ht="13.5" thickBot="1">
      <c r="B378" s="4" t="s">
        <v>91</v>
      </c>
      <c r="C378" s="150">
        <v>0.4</v>
      </c>
      <c r="D378" s="150">
        <v>0.4</v>
      </c>
      <c r="E378" s="150">
        <v>0.4</v>
      </c>
      <c r="F378" s="150">
        <v>0.4</v>
      </c>
    </row>
    <row r="379" spans="2:6" ht="13.5" thickBot="1">
      <c r="B379" s="153" t="s">
        <v>92</v>
      </c>
      <c r="C379" s="122" t="s">
        <v>86</v>
      </c>
      <c r="D379" s="122" t="s">
        <v>88</v>
      </c>
      <c r="E379" s="122" t="s">
        <v>89</v>
      </c>
      <c r="F379" s="122" t="s">
        <v>90</v>
      </c>
    </row>
    <row r="380" spans="2:6" s="163" customFormat="1" ht="12.75" thickBot="1">
      <c r="B380" s="161">
        <v>0</v>
      </c>
      <c r="C380" s="162">
        <f>C378</f>
        <v>0.4</v>
      </c>
      <c r="D380" s="162">
        <f>D378</f>
        <v>0.4</v>
      </c>
      <c r="E380" s="162">
        <f>E378</f>
        <v>0.4</v>
      </c>
      <c r="F380" s="162">
        <f>F378</f>
        <v>0.4</v>
      </c>
    </row>
    <row r="381" spans="2:6" s="163" customFormat="1" ht="12.75" thickBot="1">
      <c r="B381" s="161">
        <f>B380+1</f>
        <v>1</v>
      </c>
      <c r="C381" s="162">
        <f aca="true" t="shared" si="43" ref="C381:C410">(1+$C$376)*C380-$C$376*(C380^2)</f>
        <v>0.8559999999999999</v>
      </c>
      <c r="D381" s="162">
        <f aca="true" t="shared" si="44" ref="D381:D410">(1+$D$376)*D380-$D$376*(D380^2)</f>
        <v>0.9280000000000002</v>
      </c>
      <c r="E381" s="162">
        <f aca="true" t="shared" si="45" ref="E381:E410">(1+$E$376)*E380-$E$376*(E380^2)</f>
        <v>1.012</v>
      </c>
      <c r="F381" s="162">
        <f aca="true" t="shared" si="46" ref="F381:F410">(1+$F$376)*F380-$F$376*(F380^2)</f>
        <v>1.096</v>
      </c>
    </row>
    <row r="382" spans="2:6" s="163" customFormat="1" ht="12.75" thickBot="1">
      <c r="B382" s="161">
        <f aca="true" t="shared" si="47" ref="B382:B410">B381+1</f>
        <v>2</v>
      </c>
      <c r="C382" s="162">
        <f t="shared" si="43"/>
        <v>1.0902016</v>
      </c>
      <c r="D382" s="162">
        <f t="shared" si="44"/>
        <v>1.0749951999999998</v>
      </c>
      <c r="E382" s="162">
        <f t="shared" si="45"/>
        <v>0.9810328000000004</v>
      </c>
      <c r="F382" s="162">
        <f t="shared" si="46"/>
        <v>0.7908735999999994</v>
      </c>
    </row>
    <row r="383" spans="2:6" s="163" customFormat="1" ht="12.75" thickBot="1">
      <c r="B383" s="161">
        <f t="shared" si="47"/>
        <v>3</v>
      </c>
      <c r="C383" s="162">
        <f t="shared" si="43"/>
        <v>0.9033595355791357</v>
      </c>
      <c r="D383" s="162">
        <f t="shared" si="44"/>
        <v>0.8976323439493124</v>
      </c>
      <c r="E383" s="162">
        <f t="shared" si="45"/>
        <v>1.0284817855766075</v>
      </c>
      <c r="F383" s="162">
        <f t="shared" si="46"/>
        <v>1.2705119915868164</v>
      </c>
    </row>
    <row r="384" spans="2:6" s="163" customFormat="1" ht="12.75" thickBot="1">
      <c r="B384" s="161">
        <f t="shared" si="47"/>
        <v>4</v>
      </c>
      <c r="C384" s="162">
        <f t="shared" si="43"/>
        <v>1.0692315971881654</v>
      </c>
      <c r="D384" s="162">
        <f t="shared" si="44"/>
        <v>1.099787085849139</v>
      </c>
      <c r="E384" s="162">
        <f t="shared" si="45"/>
        <v>0.9537846414766973</v>
      </c>
      <c r="F384" s="162">
        <f t="shared" si="46"/>
        <v>0.2738146769674783</v>
      </c>
    </row>
    <row r="385" spans="2:6" s="163" customFormat="1" ht="12.75" thickBot="1">
      <c r="B385" s="161">
        <f t="shared" si="47"/>
        <v>5</v>
      </c>
      <c r="C385" s="162">
        <f t="shared" si="43"/>
        <v>0.9285848358371247</v>
      </c>
      <c r="D385" s="162">
        <f t="shared" si="44"/>
        <v>0.8583490794760538</v>
      </c>
      <c r="E385" s="162">
        <f t="shared" si="45"/>
        <v>1.066187364334354</v>
      </c>
      <c r="F385" s="162">
        <f t="shared" si="46"/>
        <v>0.8504512559370323</v>
      </c>
    </row>
    <row r="386" spans="2:6" s="163" customFormat="1" ht="12.75" thickBot="1">
      <c r="B386" s="161">
        <f t="shared" si="47"/>
        <v>6</v>
      </c>
      <c r="C386" s="162">
        <f t="shared" si="43"/>
        <v>1.0545834089690076</v>
      </c>
      <c r="D386" s="162">
        <f t="shared" si="44"/>
        <v>1.1258381414011167</v>
      </c>
      <c r="E386" s="162">
        <f t="shared" si="45"/>
        <v>0.8862386289280537</v>
      </c>
      <c r="F386" s="162">
        <f t="shared" si="46"/>
        <v>1.2192846158522865</v>
      </c>
    </row>
    <row r="387" spans="2:6" s="163" customFormat="1" ht="12.75" thickBot="1">
      <c r="B387" s="161">
        <f t="shared" si="47"/>
        <v>7</v>
      </c>
      <c r="C387" s="162">
        <f t="shared" si="43"/>
        <v>0.9452141697120053</v>
      </c>
      <c r="D387" s="162">
        <f t="shared" si="44"/>
        <v>0.8141567070898277</v>
      </c>
      <c r="E387" s="162">
        <f t="shared" si="45"/>
        <v>1.1433289188136855</v>
      </c>
      <c r="F387" s="162">
        <f t="shared" si="46"/>
        <v>0.44391057590714844</v>
      </c>
    </row>
    <row r="388" spans="2:6" s="163" customFormat="1" ht="12.75" thickBot="1">
      <c r="B388" s="161">
        <f t="shared" si="47"/>
        <v>8</v>
      </c>
      <c r="C388" s="162">
        <f t="shared" si="43"/>
        <v>1.0436044215785398</v>
      </c>
      <c r="D388" s="162">
        <f t="shared" si="44"/>
        <v>1.1470289465488752</v>
      </c>
      <c r="E388" s="162">
        <f t="shared" si="45"/>
        <v>0.7254550694696227</v>
      </c>
      <c r="F388" s="162">
        <f t="shared" si="46"/>
        <v>1.1597871077714519</v>
      </c>
    </row>
    <row r="389" spans="2:6" s="163" customFormat="1" ht="12.75" thickBot="1">
      <c r="B389" s="161">
        <f t="shared" si="47"/>
        <v>9</v>
      </c>
      <c r="C389" s="162">
        <f t="shared" si="43"/>
        <v>0.957143463975036</v>
      </c>
      <c r="D389" s="162">
        <f t="shared" si="44"/>
        <v>0.7760067396701515</v>
      </c>
      <c r="E389" s="162">
        <f t="shared" si="45"/>
        <v>1.233338599178264</v>
      </c>
      <c r="F389" s="162">
        <f t="shared" si="46"/>
        <v>0.6223619277853412</v>
      </c>
    </row>
    <row r="390" spans="2:6" s="163" customFormat="1" ht="12.75" thickBot="1">
      <c r="B390" s="161">
        <f t="shared" si="47"/>
        <v>10</v>
      </c>
      <c r="C390" s="162">
        <f t="shared" si="43"/>
        <v>1.0350811853303556</v>
      </c>
      <c r="D390" s="162">
        <f t="shared" si="44"/>
        <v>1.1584113549147885</v>
      </c>
      <c r="E390" s="162">
        <f t="shared" si="45"/>
        <v>0.4994855715141808</v>
      </c>
      <c r="F390" s="162">
        <f t="shared" si="46"/>
        <v>1.3039418478084406</v>
      </c>
    </row>
    <row r="391" spans="2:6" s="163" customFormat="1" ht="12.75" thickBot="1">
      <c r="B391" s="161">
        <f t="shared" si="47"/>
        <v>11</v>
      </c>
      <c r="C391" s="162">
        <f t="shared" si="43"/>
        <v>0.9660886230307328</v>
      </c>
      <c r="D391" s="162">
        <f t="shared" si="44"/>
        <v>0.7546992278971874</v>
      </c>
      <c r="E391" s="162">
        <f t="shared" si="45"/>
        <v>1.13698489669068</v>
      </c>
      <c r="F391" s="162">
        <f t="shared" si="46"/>
        <v>0.15460661330125625</v>
      </c>
    </row>
    <row r="392" spans="2:6" s="163" customFormat="1" ht="12.75" thickBot="1">
      <c r="B392" s="161">
        <f t="shared" si="47"/>
        <v>12</v>
      </c>
      <c r="C392" s="162">
        <f t="shared" si="43"/>
        <v>1.0283352744452323</v>
      </c>
      <c r="D392" s="162">
        <f t="shared" si="44"/>
        <v>1.161981495176056</v>
      </c>
      <c r="E392" s="162">
        <f t="shared" si="45"/>
        <v>0.739823012229988</v>
      </c>
      <c r="F392" s="162">
        <f t="shared" si="46"/>
        <v>0.5336464977330951</v>
      </c>
    </row>
    <row r="393" spans="2:6" s="163" customFormat="1" ht="12.75" thickBot="1">
      <c r="B393" s="161">
        <f t="shared" si="47"/>
        <v>13</v>
      </c>
      <c r="C393" s="162">
        <f t="shared" si="43"/>
        <v>0.9729727662213059</v>
      </c>
      <c r="D393" s="162">
        <f t="shared" si="44"/>
        <v>0.7478985952738975</v>
      </c>
      <c r="E393" s="162">
        <f t="shared" si="45"/>
        <v>1.2306595653825723</v>
      </c>
      <c r="F393" s="162">
        <f t="shared" si="46"/>
        <v>1.2553634459849559</v>
      </c>
    </row>
    <row r="394" spans="2:6" s="163" customFormat="1" ht="12.75" thickBot="1">
      <c r="B394" s="161">
        <f t="shared" si="47"/>
        <v>14</v>
      </c>
      <c r="C394" s="162">
        <f t="shared" si="43"/>
        <v>1.022936614805941</v>
      </c>
      <c r="D394" s="162">
        <f t="shared" si="44"/>
        <v>1.1627004254885998</v>
      </c>
      <c r="E394" s="162">
        <f t="shared" si="45"/>
        <v>0.5068078941456968</v>
      </c>
      <c r="F394" s="162">
        <f t="shared" si="46"/>
        <v>0.32569903294718117</v>
      </c>
    </row>
    <row r="395" spans="2:6" s="163" customFormat="1" ht="12.75" thickBot="1">
      <c r="B395" s="161">
        <f t="shared" si="47"/>
        <v>15</v>
      </c>
      <c r="C395" s="162">
        <f t="shared" si="43"/>
        <v>0.9783574789070164</v>
      </c>
      <c r="D395" s="162">
        <f t="shared" si="44"/>
        <v>0.746522346814503</v>
      </c>
      <c r="E395" s="162">
        <f t="shared" si="45"/>
        <v>1.1441897082178145</v>
      </c>
      <c r="F395" s="162">
        <f t="shared" si="46"/>
        <v>0.9625946343120924</v>
      </c>
    </row>
    <row r="396" spans="2:6" s="163" customFormat="1" ht="12.75" thickBot="1">
      <c r="B396" s="161">
        <f t="shared" si="47"/>
        <v>16</v>
      </c>
      <c r="C396" s="162">
        <f t="shared" si="43"/>
        <v>1.0185883114170906</v>
      </c>
      <c r="D396" s="162">
        <f t="shared" si="44"/>
        <v>1.162821158360857</v>
      </c>
      <c r="E396" s="162">
        <f t="shared" si="45"/>
        <v>0.7234897387747443</v>
      </c>
      <c r="F396" s="162">
        <f t="shared" si="46"/>
        <v>1.067012626798511</v>
      </c>
    </row>
    <row r="397" spans="2:6" s="163" customFormat="1" ht="12.75" thickBot="1">
      <c r="B397" s="161">
        <f t="shared" si="47"/>
        <v>17</v>
      </c>
      <c r="C397" s="162">
        <f t="shared" si="43"/>
        <v>0.9826140216140749</v>
      </c>
      <c r="D397" s="162">
        <f t="shared" si="44"/>
        <v>0.7462910048250349</v>
      </c>
      <c r="E397" s="162">
        <f t="shared" si="45"/>
        <v>1.2336231972638556</v>
      </c>
      <c r="F397" s="162">
        <f t="shared" si="46"/>
        <v>0.8596530018465636</v>
      </c>
    </row>
    <row r="398" spans="2:6" s="163" customFormat="1" ht="12.75" thickBot="1">
      <c r="B398" s="161">
        <f t="shared" si="47"/>
        <v>18</v>
      </c>
      <c r="C398" s="162">
        <f t="shared" si="43"/>
        <v>1.0150730632829044</v>
      </c>
      <c r="D398" s="162">
        <f t="shared" si="44"/>
        <v>1.1628406348980391</v>
      </c>
      <c r="E398" s="162">
        <f t="shared" si="45"/>
        <v>0.4987055585765683</v>
      </c>
      <c r="F398" s="162">
        <f t="shared" si="46"/>
        <v>1.2095371848085552</v>
      </c>
    </row>
    <row r="399" spans="2:6" s="163" customFormat="1" ht="12.75" thickBot="1">
      <c r="B399" s="161">
        <f t="shared" si="47"/>
        <v>19</v>
      </c>
      <c r="C399" s="162">
        <f t="shared" si="43"/>
        <v>0.9860025682955982</v>
      </c>
      <c r="D399" s="162">
        <f t="shared" si="44"/>
        <v>0.7462536788995604</v>
      </c>
      <c r="E399" s="162">
        <f t="shared" si="45"/>
        <v>1.1362012858511417</v>
      </c>
      <c r="F399" s="162">
        <f t="shared" si="46"/>
        <v>0.4745524365930116</v>
      </c>
    </row>
    <row r="400" spans="2:6" s="163" customFormat="1" ht="12.75" thickBot="1">
      <c r="B400" s="161">
        <f t="shared" si="47"/>
        <v>20</v>
      </c>
      <c r="C400" s="162">
        <f t="shared" si="43"/>
        <v>1.0122254251547547</v>
      </c>
      <c r="D400" s="162">
        <f t="shared" si="44"/>
        <v>1.162843755282111</v>
      </c>
      <c r="E400" s="162">
        <f t="shared" si="45"/>
        <v>0.7415834917485942</v>
      </c>
      <c r="F400" s="162">
        <f t="shared" si="46"/>
        <v>1.1976744589912887</v>
      </c>
    </row>
    <row r="401" spans="2:6" s="163" customFormat="1" ht="12.75" thickBot="1">
      <c r="B401" s="161">
        <f t="shared" si="47"/>
        <v>21</v>
      </c>
      <c r="C401" s="162">
        <f t="shared" si="43"/>
        <v>0.9887131414223136</v>
      </c>
      <c r="D401" s="162">
        <f t="shared" si="44"/>
        <v>0.7462476986658304</v>
      </c>
      <c r="E401" s="162">
        <f t="shared" si="45"/>
        <v>1.2302589038607143</v>
      </c>
      <c r="F401" s="162">
        <f t="shared" si="46"/>
        <v>0.5111004718778052</v>
      </c>
    </row>
    <row r="402" spans="2:6" s="163" customFormat="1" ht="12.75" thickBot="1">
      <c r="B402" s="161">
        <f t="shared" si="47"/>
        <v>22</v>
      </c>
      <c r="C402" s="162">
        <f t="shared" si="43"/>
        <v>1.0099161256844678</v>
      </c>
      <c r="D402" s="162">
        <f t="shared" si="44"/>
        <v>1.1628442546497517</v>
      </c>
      <c r="E402" s="162">
        <f t="shared" si="45"/>
        <v>0.5078998338576919</v>
      </c>
      <c r="F402" s="162">
        <f t="shared" si="46"/>
        <v>1.2357431324976664</v>
      </c>
    </row>
    <row r="403" spans="2:6" s="163" customFormat="1" ht="12.75" thickBot="1">
      <c r="B403" s="161">
        <f t="shared" si="47"/>
        <v>23</v>
      </c>
      <c r="C403" s="162">
        <f t="shared" si="43"/>
        <v>0.990888660741658</v>
      </c>
      <c r="D403" s="162">
        <f t="shared" si="44"/>
        <v>0.7462467416209453</v>
      </c>
      <c r="E403" s="162">
        <f t="shared" si="45"/>
        <v>1.1452406950514948</v>
      </c>
      <c r="F403" s="162">
        <f t="shared" si="46"/>
        <v>0.39092105714697833</v>
      </c>
    </row>
    <row r="404" spans="2:6" s="163" customFormat="1" ht="12.75" thickBot="1">
      <c r="B404" s="161">
        <f t="shared" si="47"/>
        <v>24</v>
      </c>
      <c r="C404" s="162">
        <f t="shared" si="43"/>
        <v>1.0080424739766545</v>
      </c>
      <c r="D404" s="162">
        <f t="shared" si="44"/>
        <v>1.1628443345512938</v>
      </c>
      <c r="E404" s="162">
        <f t="shared" si="45"/>
        <v>0.721085030947628</v>
      </c>
      <c r="F404" s="162">
        <f t="shared" si="46"/>
        <v>1.0814162314025735</v>
      </c>
    </row>
    <row r="405" spans="2:6" s="163" customFormat="1" ht="12.75" thickBot="1">
      <c r="B405" s="161">
        <f t="shared" si="47"/>
        <v>25</v>
      </c>
      <c r="C405" s="162">
        <f t="shared" si="43"/>
        <v>0.9926388787844469</v>
      </c>
      <c r="D405" s="162">
        <f t="shared" si="44"/>
        <v>0.7462465884884493</v>
      </c>
      <c r="E405" s="162">
        <f t="shared" si="45"/>
        <v>1.233944624129388</v>
      </c>
      <c r="F405" s="162">
        <f t="shared" si="46"/>
        <v>0.826086212401298</v>
      </c>
    </row>
    <row r="406" spans="2:6" s="163" customFormat="1" ht="12.75" thickBot="1">
      <c r="B406" s="161">
        <f t="shared" si="47"/>
        <v>26</v>
      </c>
      <c r="C406" s="162">
        <f t="shared" si="43"/>
        <v>1.0065220554934529</v>
      </c>
      <c r="D406" s="162">
        <f t="shared" si="44"/>
        <v>1.16284434733561</v>
      </c>
      <c r="E406" s="162">
        <f t="shared" si="45"/>
        <v>0.49782411034389495</v>
      </c>
      <c r="F406" s="162">
        <f t="shared" si="46"/>
        <v>1.2427227804384469</v>
      </c>
    </row>
    <row r="407" spans="2:6" s="163" customFormat="1" ht="12.75" thickBot="1">
      <c r="B407" s="161">
        <f t="shared" si="47"/>
        <v>27</v>
      </c>
      <c r="C407" s="162">
        <f t="shared" si="43"/>
        <v>0.9940493293609591</v>
      </c>
      <c r="D407" s="162">
        <f t="shared" si="44"/>
        <v>0.7462465639871141</v>
      </c>
      <c r="E407" s="162">
        <f t="shared" si="45"/>
        <v>1.1353120373796162</v>
      </c>
      <c r="F407" s="162">
        <f t="shared" si="46"/>
        <v>0.3679751075500164</v>
      </c>
    </row>
    <row r="408" spans="2:6" s="163" customFormat="1" ht="12.75" thickBot="1">
      <c r="B408" s="161">
        <f t="shared" si="47"/>
        <v>28</v>
      </c>
      <c r="C408" s="162">
        <f t="shared" si="43"/>
        <v>1.0052883236611334</v>
      </c>
      <c r="D408" s="162">
        <f t="shared" si="44"/>
        <v>1.1628443493811023</v>
      </c>
      <c r="E408" s="162">
        <f t="shared" si="45"/>
        <v>0.7435775060390473</v>
      </c>
      <c r="F408" s="162">
        <f t="shared" si="46"/>
        <v>1.0424264480933703</v>
      </c>
    </row>
    <row r="409" spans="2:6" s="163" customFormat="1" ht="12.75" thickBot="1">
      <c r="B409" s="161">
        <f t="shared" si="47"/>
        <v>29</v>
      </c>
      <c r="C409" s="162">
        <f t="shared" si="43"/>
        <v>0.9951873726074045</v>
      </c>
      <c r="D409" s="162">
        <f t="shared" si="44"/>
        <v>0.7462465600668975</v>
      </c>
      <c r="E409" s="162">
        <f t="shared" si="45"/>
        <v>1.2297860023461318</v>
      </c>
      <c r="F409" s="162">
        <f t="shared" si="46"/>
        <v>0.9141697384789205</v>
      </c>
    </row>
    <row r="410" spans="2:6" s="163" customFormat="1" ht="12.75" thickBot="1">
      <c r="B410" s="161">
        <f t="shared" si="47"/>
        <v>30</v>
      </c>
      <c r="C410" s="162">
        <f t="shared" si="43"/>
        <v>1.0042873580267377</v>
      </c>
      <c r="D410" s="162">
        <f t="shared" si="44"/>
        <v>1.1628443497083814</v>
      </c>
      <c r="E410" s="162">
        <f t="shared" si="45"/>
        <v>0.5091875988342438</v>
      </c>
      <c r="F410" s="162">
        <f t="shared" si="46"/>
        <v>1.1417136788909978</v>
      </c>
    </row>
    <row r="411" spans="2:6" s="163" customFormat="1" ht="12">
      <c r="B411" s="155" t="s">
        <v>93</v>
      </c>
      <c r="C411" s="164">
        <f>AVERAGE(C380:C410)</f>
        <v>0.9761849059710722</v>
      </c>
      <c r="D411" s="164">
        <f>AVERAGE(D380:D410)</f>
        <v>0.9477585067829191</v>
      </c>
      <c r="E411" s="164">
        <f>AVERAGE(E380:E410)</f>
        <v>0.9024360668052571</v>
      </c>
      <c r="F411" s="164">
        <f>AVERAGE(F380:F410)</f>
        <v>0.8459855610229218</v>
      </c>
    </row>
    <row r="412" spans="2:6" s="163" customFormat="1" ht="12">
      <c r="B412" s="156" t="s">
        <v>94</v>
      </c>
      <c r="C412" s="165">
        <f>STDEV(C380:C410)</f>
        <v>0.1164682727386494</v>
      </c>
      <c r="D412" s="165">
        <f>STDEV(D380:D410)</f>
        <v>0.21428152105459664</v>
      </c>
      <c r="E412" s="165">
        <f>STDEV(E380:E410)</f>
        <v>0.28499516498393396</v>
      </c>
      <c r="F412" s="165">
        <f>STDEV(F380:F410)</f>
        <v>0.3626360363872881</v>
      </c>
    </row>
    <row r="413" spans="2:6" s="163" customFormat="1" ht="12.75" thickBot="1">
      <c r="B413" s="157" t="s">
        <v>312</v>
      </c>
      <c r="C413" s="166">
        <f>C412/C411</f>
        <v>0.11930964310781995</v>
      </c>
      <c r="D413" s="166">
        <f>D412/D411</f>
        <v>0.2260929546092453</v>
      </c>
      <c r="E413" s="166">
        <f>E412/E411</f>
        <v>0.31580648809045775</v>
      </c>
      <c r="F413" s="166">
        <f>F412/F411</f>
        <v>0.42865511315442245</v>
      </c>
    </row>
  </sheetData>
  <printOptions/>
  <pageMargins left="0.3" right="0.3" top="0.7" bottom="0.7" header="0.5" footer="0.5"/>
  <pageSetup orientation="portrait" paperSize="9" scale="80"/>
  <headerFooter alignWithMargins="0">
    <oddHeader>&amp;CA.ARenResourceOptControl.xls</oddHeader>
    <oddFooter>&amp;CPage &amp;P</oddFooter>
  </headerFooter>
  <drawing r:id="rId8"/>
  <legacyDrawing r:id="rId7"/>
  <oleObjects>
    <oleObject progId="Equation.3" shapeId="106490" r:id="rId1"/>
    <oleObject progId="Equation.3" shapeId="442425" r:id="rId2"/>
    <oleObject progId="Equation.3" shapeId="447639" r:id="rId3"/>
    <oleObject progId="Equation.3" shapeId="451860" r:id="rId4"/>
    <oleObject progId="Equation.3" shapeId="517845" r:id="rId5"/>
    <oleObject progId="Equation.3" shapeId="66284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A1">
      <selection activeCell="B2" sqref="B2"/>
    </sheetView>
  </sheetViews>
  <sheetFormatPr defaultColWidth="11.421875" defaultRowHeight="12"/>
  <cols>
    <col min="1" max="1" width="11.00390625" style="5" customWidth="1"/>
    <col min="2" max="2" width="5.8515625" style="10" customWidth="1"/>
    <col min="3" max="3" width="11.421875" style="10" customWidth="1"/>
    <col min="4" max="5" width="11.421875" style="1" customWidth="1"/>
    <col min="6" max="6" width="11.140625" style="1" customWidth="1"/>
    <col min="7" max="7" width="11.8515625" style="1" customWidth="1"/>
    <col min="8" max="11" width="11.00390625" style="1" customWidth="1"/>
    <col min="12" max="12" width="11.421875" style="1" customWidth="1"/>
    <col min="13" max="16" width="11.00390625" style="1" customWidth="1"/>
  </cols>
  <sheetData>
    <row r="1" spans="4:10" ht="13.5" thickBot="1">
      <c r="D1" s="8"/>
      <c r="E1" s="2"/>
      <c r="F1" s="2"/>
      <c r="G1" s="3" t="s">
        <v>66</v>
      </c>
      <c r="H1" s="2"/>
      <c r="I1" s="2"/>
      <c r="J1" s="9"/>
    </row>
    <row r="2" spans="5:9" ht="12.75">
      <c r="E2" s="6"/>
      <c r="F2" s="6"/>
      <c r="G2" s="7"/>
      <c r="H2" s="6"/>
      <c r="I2" s="6"/>
    </row>
    <row r="3" spans="2:12" ht="12.75">
      <c r="B3" s="10" t="s">
        <v>166</v>
      </c>
      <c r="L3" s="5" t="s">
        <v>165</v>
      </c>
    </row>
    <row r="4" ht="12.75">
      <c r="B4" s="10" t="s">
        <v>407</v>
      </c>
    </row>
    <row r="5" ht="12.75">
      <c r="B5" s="10" t="s">
        <v>162</v>
      </c>
    </row>
    <row r="6" ht="12.75">
      <c r="B6" s="10" t="s">
        <v>179</v>
      </c>
    </row>
    <row r="7" ht="12.75">
      <c r="B7" s="10" t="s">
        <v>31</v>
      </c>
    </row>
    <row r="8" ht="12.75">
      <c r="B8" s="10" t="s">
        <v>32</v>
      </c>
    </row>
    <row r="9" ht="12.75">
      <c r="B9" s="10" t="s">
        <v>33</v>
      </c>
    </row>
    <row r="11" spans="1:2" ht="12.75">
      <c r="A11" s="5" t="s">
        <v>435</v>
      </c>
      <c r="B11" s="92" t="s">
        <v>434</v>
      </c>
    </row>
    <row r="12" ht="12.75">
      <c r="B12" s="10" t="s">
        <v>34</v>
      </c>
    </row>
    <row r="13" ht="12.75">
      <c r="B13" s="10" t="s">
        <v>331</v>
      </c>
    </row>
    <row r="14" ht="12.75">
      <c r="B14" s="10" t="s">
        <v>332</v>
      </c>
    </row>
    <row r="15" ht="15.75"/>
    <row r="16" spans="2:5" ht="15.75">
      <c r="B16" s="10">
        <v>1</v>
      </c>
      <c r="E16" s="1" t="s">
        <v>292</v>
      </c>
    </row>
    <row r="17" ht="15.75"/>
    <row r="18" ht="15.75"/>
    <row r="19" spans="2:5" ht="15.75">
      <c r="B19" s="10">
        <v>2</v>
      </c>
      <c r="E19" s="1" t="s">
        <v>293</v>
      </c>
    </row>
    <row r="20" ht="15.75">
      <c r="E20" s="1" t="s">
        <v>229</v>
      </c>
    </row>
    <row r="21" ht="15.75">
      <c r="E21" s="1" t="s">
        <v>134</v>
      </c>
    </row>
    <row r="22" ht="15.75">
      <c r="E22" s="1" t="s">
        <v>230</v>
      </c>
    </row>
    <row r="23" ht="12.75">
      <c r="E23" s="1" t="s">
        <v>241</v>
      </c>
    </row>
    <row r="25" ht="12.75">
      <c r="B25" s="10" t="s">
        <v>160</v>
      </c>
    </row>
    <row r="26" ht="12.75">
      <c r="B26" s="10" t="s">
        <v>67</v>
      </c>
    </row>
    <row r="27" ht="12.75">
      <c r="B27" s="10" t="s">
        <v>68</v>
      </c>
    </row>
    <row r="29" spans="2:8" ht="15.75">
      <c r="B29" s="10">
        <v>3</v>
      </c>
      <c r="H29" s="1" t="s">
        <v>328</v>
      </c>
    </row>
    <row r="30" ht="15.75"/>
    <row r="31" ht="12.75">
      <c r="B31" s="10" t="s">
        <v>72</v>
      </c>
    </row>
    <row r="32" ht="12.75">
      <c r="B32" s="10" t="s">
        <v>73</v>
      </c>
    </row>
    <row r="33" ht="13.5">
      <c r="B33" s="10" t="s">
        <v>159</v>
      </c>
    </row>
    <row r="35" ht="12.75">
      <c r="B35" s="10" t="s">
        <v>59</v>
      </c>
    </row>
    <row r="36" ht="12.75">
      <c r="B36" s="10" t="s">
        <v>60</v>
      </c>
    </row>
    <row r="37" ht="15.75"/>
    <row r="38" spans="3:8" ht="15.75">
      <c r="C38" s="10" t="s">
        <v>61</v>
      </c>
      <c r="D38" s="4" t="s">
        <v>62</v>
      </c>
      <c r="H38" s="4" t="s">
        <v>63</v>
      </c>
    </row>
    <row r="39" ht="15.75"/>
    <row r="40" ht="12.75">
      <c r="B40" s="10" t="s">
        <v>64</v>
      </c>
    </row>
    <row r="41" ht="12.75">
      <c r="B41" s="10" t="s">
        <v>65</v>
      </c>
    </row>
    <row r="42" ht="12.75">
      <c r="B42" s="10" t="s">
        <v>0</v>
      </c>
    </row>
    <row r="43" ht="12.75">
      <c r="B43" s="10" t="s">
        <v>294</v>
      </c>
    </row>
    <row r="44" ht="12.75">
      <c r="B44" s="10" t="s">
        <v>431</v>
      </c>
    </row>
    <row r="46" spans="1:7" ht="12.75">
      <c r="A46" s="5" t="s">
        <v>132</v>
      </c>
      <c r="B46" s="92" t="s">
        <v>100</v>
      </c>
      <c r="G46" s="13"/>
    </row>
    <row r="47" ht="13.5" thickBot="1">
      <c r="B47" s="10" t="s">
        <v>287</v>
      </c>
    </row>
    <row r="48" spans="3:8" ht="15.75">
      <c r="C48" s="1"/>
      <c r="D48" s="116">
        <v>3</v>
      </c>
      <c r="E48" s="16"/>
      <c r="F48" s="16"/>
      <c r="G48" s="16"/>
      <c r="H48" s="17">
        <v>2</v>
      </c>
    </row>
    <row r="49" spans="3:12" ht="15.75">
      <c r="C49" s="31">
        <v>4</v>
      </c>
      <c r="D49" s="18"/>
      <c r="E49" s="19">
        <v>4</v>
      </c>
      <c r="F49" s="20" t="s">
        <v>288</v>
      </c>
      <c r="G49" s="20">
        <v>-5</v>
      </c>
      <c r="H49" s="21" t="s">
        <v>291</v>
      </c>
      <c r="I49" s="20"/>
      <c r="J49" s="20"/>
      <c r="K49" s="20"/>
      <c r="L49" s="20"/>
    </row>
    <row r="50" spans="3:12" ht="16.5" thickBot="1">
      <c r="C50" s="1"/>
      <c r="D50" s="117">
        <v>0</v>
      </c>
      <c r="E50" s="22"/>
      <c r="F50" s="22"/>
      <c r="G50" s="22"/>
      <c r="H50" s="23"/>
      <c r="I50" s="20"/>
      <c r="J50" s="20"/>
      <c r="K50" s="20"/>
      <c r="L50" s="20"/>
    </row>
    <row r="51" ht="13.5" thickBot="1">
      <c r="H51" s="11"/>
    </row>
    <row r="52" spans="3:8" ht="15.75">
      <c r="C52" s="14" t="s">
        <v>292</v>
      </c>
      <c r="D52" s="83">
        <v>8</v>
      </c>
      <c r="E52" s="16" t="s">
        <v>9</v>
      </c>
      <c r="F52" s="24" t="s">
        <v>288</v>
      </c>
      <c r="G52" s="25">
        <f>D50</f>
        <v>0</v>
      </c>
      <c r="H52" s="26">
        <v>2</v>
      </c>
    </row>
    <row r="53" spans="4:8" ht="16.5" thickBot="1">
      <c r="D53" s="27"/>
      <c r="E53" s="22"/>
      <c r="F53" s="28" t="s">
        <v>288</v>
      </c>
      <c r="G53" s="29">
        <f>D48</f>
        <v>3</v>
      </c>
      <c r="H53" s="30">
        <v>117.2</v>
      </c>
    </row>
    <row r="54" spans="4:8" ht="12.75">
      <c r="D54" s="20"/>
      <c r="E54" s="20"/>
      <c r="F54" s="32"/>
      <c r="G54" s="33"/>
      <c r="H54" s="34"/>
    </row>
    <row r="55" ht="13.5" thickBot="1">
      <c r="B55" s="10" t="s">
        <v>10</v>
      </c>
    </row>
    <row r="56" spans="4:10" ht="12.75">
      <c r="D56" s="15"/>
      <c r="E56" s="16"/>
      <c r="F56" s="16"/>
      <c r="G56" s="16"/>
      <c r="H56" s="61">
        <f>H48</f>
        <v>2</v>
      </c>
      <c r="I56" s="16"/>
      <c r="J56" s="35"/>
    </row>
    <row r="57" spans="3:10" ht="16.5" thickBot="1">
      <c r="C57" s="31">
        <v>5</v>
      </c>
      <c r="D57" s="36" t="s">
        <v>11</v>
      </c>
      <c r="E57" s="37">
        <f>E49</f>
        <v>4</v>
      </c>
      <c r="F57" s="22" t="str">
        <f>F49</f>
        <v>x</v>
      </c>
      <c r="G57" s="22">
        <f>G49</f>
        <v>-5</v>
      </c>
      <c r="H57" s="22" t="s">
        <v>183</v>
      </c>
      <c r="I57" s="38">
        <f>D52</f>
        <v>8</v>
      </c>
      <c r="J57" s="23" t="s">
        <v>290</v>
      </c>
    </row>
    <row r="59" ht="12.75">
      <c r="B59" s="10" t="s">
        <v>12</v>
      </c>
    </row>
    <row r="60" ht="13.5" thickBot="1"/>
    <row r="61" spans="3:11" ht="15.75">
      <c r="C61" s="31">
        <v>6</v>
      </c>
      <c r="D61" s="15"/>
      <c r="E61" s="16" t="s">
        <v>13</v>
      </c>
      <c r="F61" s="16">
        <f>H56*G57</f>
        <v>-10</v>
      </c>
      <c r="G61" s="16" t="s">
        <v>175</v>
      </c>
      <c r="H61" s="40">
        <f>I57</f>
        <v>8</v>
      </c>
      <c r="I61" s="41" t="s">
        <v>14</v>
      </c>
      <c r="J61" s="42">
        <v>0</v>
      </c>
      <c r="K61" s="1" t="s">
        <v>174</v>
      </c>
    </row>
    <row r="62" spans="4:10" ht="18.75" customHeight="1" thickBot="1">
      <c r="D62" s="27"/>
      <c r="E62" s="22"/>
      <c r="F62" s="22"/>
      <c r="G62" s="22"/>
      <c r="H62" s="22"/>
      <c r="I62" s="22"/>
      <c r="J62" s="23"/>
    </row>
    <row r="63" ht="13.5" thickBot="1"/>
    <row r="64" spans="4:6" ht="15" thickBot="1">
      <c r="D64" s="45" t="s">
        <v>176</v>
      </c>
      <c r="E64" s="46">
        <f>-H61/F61</f>
        <v>0.8</v>
      </c>
      <c r="F64" s="109" t="s">
        <v>208</v>
      </c>
    </row>
    <row r="66" ht="13.5" thickBot="1"/>
    <row r="67" spans="3:10" ht="15.75" customHeight="1">
      <c r="C67" s="31">
        <v>7</v>
      </c>
      <c r="D67" s="15"/>
      <c r="E67" s="44">
        <f>-E57</f>
        <v>-4</v>
      </c>
      <c r="G67" s="31">
        <v>8</v>
      </c>
      <c r="H67" s="15"/>
      <c r="I67" s="40">
        <f>D52</f>
        <v>8</v>
      </c>
      <c r="J67" s="35" t="s">
        <v>289</v>
      </c>
    </row>
    <row r="68" spans="4:10" ht="18.75" customHeight="1" thickBot="1">
      <c r="D68" s="27"/>
      <c r="E68" s="23"/>
      <c r="H68" s="27"/>
      <c r="I68" s="22"/>
      <c r="J68" s="23"/>
    </row>
    <row r="69" ht="13.5" thickBot="1"/>
    <row r="70" spans="2:7" ht="15" thickBot="1">
      <c r="B70" s="10" t="s">
        <v>177</v>
      </c>
      <c r="E70" s="45" t="s">
        <v>176</v>
      </c>
      <c r="F70" s="46">
        <f>E64</f>
        <v>0.8</v>
      </c>
      <c r="G70" s="109" t="s">
        <v>208</v>
      </c>
    </row>
    <row r="71" ht="13.5" thickBot="1"/>
    <row r="72" spans="3:9" ht="16.5" thickBot="1">
      <c r="C72" s="31">
        <v>9</v>
      </c>
      <c r="E72" s="48"/>
      <c r="F72" s="46">
        <f>I67</f>
        <v>8</v>
      </c>
      <c r="G72" s="49">
        <f>F70</f>
        <v>0.8</v>
      </c>
      <c r="H72" s="113" t="s">
        <v>224</v>
      </c>
      <c r="I72" s="51">
        <f>F72*G72</f>
        <v>6.4</v>
      </c>
    </row>
    <row r="73" ht="15.75"/>
    <row r="74" ht="12.75">
      <c r="B74" s="10" t="s">
        <v>117</v>
      </c>
    </row>
    <row r="75" spans="2:8" ht="13.5">
      <c r="B75" s="10" t="s">
        <v>329</v>
      </c>
      <c r="H75" s="11"/>
    </row>
    <row r="76" ht="13.5" thickBot="1"/>
    <row r="77" spans="3:10" ht="22.5" customHeight="1">
      <c r="C77" s="31">
        <v>10</v>
      </c>
      <c r="D77" s="15"/>
      <c r="E77" s="16"/>
      <c r="F77" s="40">
        <f>E67</f>
        <v>-4</v>
      </c>
      <c r="G77" s="16" t="s">
        <v>155</v>
      </c>
      <c r="H77" s="40">
        <f>E67</f>
        <v>-4</v>
      </c>
      <c r="I77" s="35" t="s">
        <v>119</v>
      </c>
      <c r="J77" s="1" t="s">
        <v>120</v>
      </c>
    </row>
    <row r="78" spans="4:9" ht="24.75" customHeight="1" thickBot="1">
      <c r="D78" s="27"/>
      <c r="E78" s="22"/>
      <c r="F78" s="22"/>
      <c r="G78" s="22"/>
      <c r="H78" s="22"/>
      <c r="I78" s="23"/>
    </row>
    <row r="79" ht="13.5" thickBot="1"/>
    <row r="80" spans="3:11" ht="27.75" thickBot="1">
      <c r="C80" s="31">
        <v>11</v>
      </c>
      <c r="D80" s="48"/>
      <c r="E80" s="46">
        <f>I72</f>
        <v>6.4</v>
      </c>
      <c r="F80" s="49">
        <f>H77</f>
        <v>-4</v>
      </c>
      <c r="G80" s="50" t="s">
        <v>432</v>
      </c>
      <c r="H80" s="50">
        <f>E80*F80</f>
        <v>-25.6</v>
      </c>
      <c r="I80" s="50" t="s">
        <v>428</v>
      </c>
      <c r="J80" s="46">
        <f>I72</f>
        <v>6.4</v>
      </c>
      <c r="K80" s="47" t="s">
        <v>429</v>
      </c>
    </row>
    <row r="81" ht="15.75"/>
    <row r="82" ht="12.75">
      <c r="B82" s="10" t="s">
        <v>135</v>
      </c>
    </row>
    <row r="83" ht="13.5" thickBot="1"/>
    <row r="84" spans="3:9" ht="27.75" customHeight="1" thickBot="1">
      <c r="C84" s="31">
        <v>12</v>
      </c>
      <c r="D84" s="48"/>
      <c r="E84" s="52">
        <f>H80</f>
        <v>-25.6</v>
      </c>
      <c r="F84" s="53" t="s">
        <v>428</v>
      </c>
      <c r="G84" s="54">
        <f>J80</f>
        <v>6.4</v>
      </c>
      <c r="H84" s="55" t="s">
        <v>244</v>
      </c>
      <c r="I84" s="1" t="s">
        <v>394</v>
      </c>
    </row>
    <row r="85" spans="3:8" ht="16.5" thickBot="1">
      <c r="C85" s="31"/>
      <c r="D85" s="20"/>
      <c r="E85" s="56"/>
      <c r="F85" s="57"/>
      <c r="G85" s="58"/>
      <c r="H85" s="57"/>
    </row>
    <row r="86" spans="4:8" ht="12.75">
      <c r="D86" s="59"/>
      <c r="E86" s="16"/>
      <c r="F86" s="61">
        <v>2</v>
      </c>
      <c r="G86" s="16"/>
      <c r="H86" s="35"/>
    </row>
    <row r="87" spans="4:8" ht="19.5" thickBot="1">
      <c r="D87" s="36" t="s">
        <v>243</v>
      </c>
      <c r="E87" s="22">
        <f>E84/2</f>
        <v>-12.8</v>
      </c>
      <c r="F87" s="22" t="s">
        <v>395</v>
      </c>
      <c r="G87" s="60">
        <f>J80</f>
        <v>6.4</v>
      </c>
      <c r="H87" s="23" t="s">
        <v>396</v>
      </c>
    </row>
    <row r="89" ht="12.75">
      <c r="B89" s="10" t="s">
        <v>397</v>
      </c>
    </row>
    <row r="90" ht="13.5" thickBot="1"/>
    <row r="91" spans="4:12" ht="12.75">
      <c r="D91" s="15"/>
      <c r="E91" s="16"/>
      <c r="F91" s="16"/>
      <c r="G91" s="64">
        <v>2</v>
      </c>
      <c r="H91" s="16"/>
      <c r="I91" s="16"/>
      <c r="J91" s="16"/>
      <c r="K91" s="16"/>
      <c r="L91" s="35"/>
    </row>
    <row r="92" spans="3:12" ht="19.5" thickBot="1">
      <c r="C92" s="31">
        <v>13</v>
      </c>
      <c r="D92" s="36" t="str">
        <f>F52</f>
        <v>x</v>
      </c>
      <c r="E92" s="65">
        <f>G52</f>
        <v>0</v>
      </c>
      <c r="F92" s="22">
        <f>E87</f>
        <v>-12.8</v>
      </c>
      <c r="G92" s="66">
        <f>D50</f>
        <v>0</v>
      </c>
      <c r="H92" s="69" t="s">
        <v>398</v>
      </c>
      <c r="I92" s="67">
        <f>G84</f>
        <v>6.4</v>
      </c>
      <c r="J92" s="66">
        <f>D50</f>
        <v>0</v>
      </c>
      <c r="K92" s="68" t="s">
        <v>178</v>
      </c>
      <c r="L92" s="30">
        <v>2</v>
      </c>
    </row>
    <row r="93" spans="3:8" ht="13.5" thickBot="1">
      <c r="C93" s="31"/>
      <c r="D93" s="4"/>
      <c r="E93" s="62"/>
      <c r="G93" s="63"/>
      <c r="H93" s="12"/>
    </row>
    <row r="94" spans="2:8" ht="19.5" thickBot="1">
      <c r="B94" s="10" t="s">
        <v>322</v>
      </c>
      <c r="C94" s="31"/>
      <c r="D94" s="4"/>
      <c r="E94" s="70" t="s">
        <v>323</v>
      </c>
      <c r="F94" s="51">
        <f>H52-(G92^G91)*F92+I92*J92</f>
        <v>2</v>
      </c>
      <c r="G94" s="63" t="s">
        <v>324</v>
      </c>
      <c r="H94" s="12"/>
    </row>
    <row r="95" spans="3:8" ht="13.5" thickBot="1">
      <c r="C95" s="31"/>
      <c r="D95" s="4"/>
      <c r="E95" s="71"/>
      <c r="F95" s="34"/>
      <c r="G95" s="63"/>
      <c r="H95" s="12"/>
    </row>
    <row r="96" spans="3:12" ht="12.75">
      <c r="C96" s="31">
        <v>14</v>
      </c>
      <c r="D96" s="59"/>
      <c r="E96" s="72"/>
      <c r="F96" s="16"/>
      <c r="G96" s="73">
        <v>2</v>
      </c>
      <c r="H96" s="74"/>
      <c r="I96" s="16"/>
      <c r="J96" s="16"/>
      <c r="K96" s="16"/>
      <c r="L96" s="35"/>
    </row>
    <row r="97" spans="4:12" ht="13.5" thickBot="1">
      <c r="D97" s="36" t="str">
        <f>F53</f>
        <v>x</v>
      </c>
      <c r="E97" s="65">
        <f>G53</f>
        <v>3</v>
      </c>
      <c r="F97" s="22">
        <f>F92</f>
        <v>-12.8</v>
      </c>
      <c r="G97" s="66">
        <f>D48</f>
        <v>3</v>
      </c>
      <c r="H97" s="69" t="s">
        <v>398</v>
      </c>
      <c r="I97" s="67">
        <f>I92</f>
        <v>6.4</v>
      </c>
      <c r="J97" s="75">
        <f>G97</f>
        <v>3</v>
      </c>
      <c r="K97" s="76">
        <f>F94</f>
        <v>2</v>
      </c>
      <c r="L97" s="30">
        <f>H53</f>
        <v>117.2</v>
      </c>
    </row>
    <row r="98" ht="13.5" thickBot="1">
      <c r="B98" s="10" t="s">
        <v>322</v>
      </c>
    </row>
    <row r="99" spans="5:6" ht="19.5" thickBot="1">
      <c r="E99" s="77" t="s">
        <v>325</v>
      </c>
      <c r="F99" s="51">
        <f>(L97-K97-F97*(G97^G96))/(I97*J97)</f>
        <v>11.999999999999998</v>
      </c>
    </row>
    <row r="100" spans="5:6" ht="12.75">
      <c r="E100" s="79"/>
      <c r="F100" s="80"/>
    </row>
    <row r="101" ht="12.75">
      <c r="B101" s="1" t="s">
        <v>21</v>
      </c>
    </row>
    <row r="102" ht="13.5" thickBot="1"/>
    <row r="103" spans="4:8" ht="12.75">
      <c r="D103" s="15"/>
      <c r="E103" s="16"/>
      <c r="F103" s="61">
        <v>2</v>
      </c>
      <c r="G103" s="16"/>
      <c r="H103" s="35"/>
    </row>
    <row r="104" spans="3:9" ht="13.5" thickBot="1">
      <c r="C104" s="31">
        <v>15</v>
      </c>
      <c r="D104" s="36" t="s">
        <v>243</v>
      </c>
      <c r="E104" s="22">
        <f>F92</f>
        <v>-12.8</v>
      </c>
      <c r="F104" s="22" t="s">
        <v>22</v>
      </c>
      <c r="G104" s="90">
        <f>I92*F99</f>
        <v>76.8</v>
      </c>
      <c r="H104" s="91">
        <f>F94</f>
        <v>2</v>
      </c>
      <c r="I104" s="1" t="s">
        <v>24</v>
      </c>
    </row>
    <row r="106" ht="13.5" thickBot="1"/>
    <row r="107" spans="3:9" ht="15" thickBot="1">
      <c r="C107" s="31">
        <v>16</v>
      </c>
      <c r="D107" s="114" t="s">
        <v>154</v>
      </c>
      <c r="E107" s="46">
        <f>H77</f>
        <v>-4</v>
      </c>
      <c r="F107" s="50" t="s">
        <v>428</v>
      </c>
      <c r="G107" s="81">
        <f>F99</f>
        <v>11.999999999999998</v>
      </c>
      <c r="H107" s="47"/>
      <c r="I107" s="1" t="s">
        <v>23</v>
      </c>
    </row>
    <row r="109" ht="12.75">
      <c r="B109" s="10" t="s">
        <v>99</v>
      </c>
    </row>
    <row r="110" ht="13.5" thickBot="1"/>
    <row r="111" spans="3:9" ht="15" thickBot="1">
      <c r="C111" s="31">
        <v>17</v>
      </c>
      <c r="D111" s="1" t="s">
        <v>6</v>
      </c>
      <c r="G111" s="45" t="s">
        <v>5</v>
      </c>
      <c r="H111" s="46">
        <f>F70</f>
        <v>0.8</v>
      </c>
      <c r="I111" s="109" t="s">
        <v>208</v>
      </c>
    </row>
    <row r="113" ht="12.75">
      <c r="B113" s="1" t="s">
        <v>7</v>
      </c>
    </row>
    <row r="114" ht="13.5" thickBot="1">
      <c r="H114" s="39"/>
    </row>
    <row r="115" spans="3:11" ht="13.5" thickBot="1">
      <c r="C115" s="31">
        <v>18</v>
      </c>
      <c r="D115" s="45" t="s">
        <v>5</v>
      </c>
      <c r="E115" s="46">
        <f>H111</f>
        <v>0.8</v>
      </c>
      <c r="F115" s="49">
        <f>E107</f>
        <v>-4</v>
      </c>
      <c r="G115" s="50" t="str">
        <f>F107</f>
        <v>t     +</v>
      </c>
      <c r="H115" s="82">
        <f>G107</f>
        <v>11.999999999999998</v>
      </c>
      <c r="I115" s="46">
        <f>E115*F115</f>
        <v>-3.2</v>
      </c>
      <c r="J115" s="50" t="s">
        <v>428</v>
      </c>
      <c r="K115" s="51">
        <f>E115*H115</f>
        <v>9.6</v>
      </c>
    </row>
    <row r="117" ht="12.75">
      <c r="B117" s="10" t="s">
        <v>296</v>
      </c>
    </row>
    <row r="118" ht="13.5" thickBot="1"/>
    <row r="119" spans="3:8" ht="19.5" customHeight="1" thickBot="1">
      <c r="C119" s="31">
        <v>19</v>
      </c>
      <c r="D119" s="48"/>
      <c r="E119" s="46">
        <f>F103*E104</f>
        <v>-25.6</v>
      </c>
      <c r="F119" s="50" t="s">
        <v>428</v>
      </c>
      <c r="G119" s="78">
        <f>G104</f>
        <v>76.8</v>
      </c>
      <c r="H119" s="1" t="s">
        <v>217</v>
      </c>
    </row>
    <row r="120" ht="16.5" thickBot="1">
      <c r="B120" s="10" t="s">
        <v>218</v>
      </c>
    </row>
    <row r="121" spans="3:6" ht="18.75" customHeight="1" thickBot="1">
      <c r="C121" s="31">
        <v>20</v>
      </c>
      <c r="D121" s="48"/>
      <c r="E121" s="46">
        <f>D52</f>
        <v>8</v>
      </c>
      <c r="F121" s="47" t="s">
        <v>219</v>
      </c>
    </row>
    <row r="122" ht="16.5" thickBot="1"/>
    <row r="123" spans="3:9" ht="13.5" thickBot="1">
      <c r="C123" s="31">
        <v>21</v>
      </c>
      <c r="D123" s="48">
        <f>E119</f>
        <v>-25.6</v>
      </c>
      <c r="E123" s="50" t="str">
        <f>F119</f>
        <v>t     +</v>
      </c>
      <c r="F123" s="46">
        <f>G119</f>
        <v>76.8</v>
      </c>
      <c r="G123" s="50" t="s">
        <v>220</v>
      </c>
      <c r="H123" s="46">
        <f>E121</f>
        <v>8</v>
      </c>
      <c r="I123" s="47" t="s">
        <v>289</v>
      </c>
    </row>
    <row r="124" spans="3:9" ht="12.75">
      <c r="C124" s="31"/>
      <c r="D124" s="20"/>
      <c r="E124" s="20"/>
      <c r="F124" s="80"/>
      <c r="G124" s="20"/>
      <c r="H124" s="80"/>
      <c r="I124" s="20"/>
    </row>
    <row r="125" ht="13.5" thickBot="1">
      <c r="B125" s="10" t="s">
        <v>221</v>
      </c>
    </row>
    <row r="126" spans="3:7" ht="13.5" thickBot="1">
      <c r="C126" s="31">
        <v>22</v>
      </c>
      <c r="D126" s="45" t="s">
        <v>5</v>
      </c>
      <c r="E126" s="46">
        <f>D123/H123</f>
        <v>-3.2</v>
      </c>
      <c r="F126" s="46" t="s">
        <v>428</v>
      </c>
      <c r="G126" s="78">
        <f>F123/H123</f>
        <v>9.6</v>
      </c>
    </row>
    <row r="128" ht="12.75">
      <c r="B128" s="10" t="s">
        <v>35</v>
      </c>
    </row>
    <row r="129" ht="13.5" thickBot="1"/>
    <row r="130" spans="3:11" ht="13.5" thickBot="1">
      <c r="C130" s="31">
        <v>23</v>
      </c>
      <c r="D130" s="45" t="s">
        <v>289</v>
      </c>
      <c r="E130" s="84">
        <f>G52</f>
        <v>0</v>
      </c>
      <c r="F130" s="46">
        <f>E126</f>
        <v>-3.2</v>
      </c>
      <c r="G130" s="85">
        <f>D50</f>
        <v>0</v>
      </c>
      <c r="H130" s="86" t="s">
        <v>36</v>
      </c>
      <c r="I130" s="81">
        <f>G126</f>
        <v>9.6</v>
      </c>
      <c r="J130" s="86" t="s">
        <v>37</v>
      </c>
      <c r="K130" s="51">
        <f>F130*G130+I130</f>
        <v>9.6</v>
      </c>
    </row>
    <row r="131" spans="3:11" ht="13.5" thickBot="1">
      <c r="C131" s="31">
        <v>24</v>
      </c>
      <c r="D131" s="45" t="s">
        <v>289</v>
      </c>
      <c r="E131" s="84">
        <f>G53</f>
        <v>3</v>
      </c>
      <c r="F131" s="46">
        <f>E126</f>
        <v>-3.2</v>
      </c>
      <c r="G131" s="85">
        <f>D48</f>
        <v>3</v>
      </c>
      <c r="H131" s="86" t="s">
        <v>36</v>
      </c>
      <c r="I131" s="81">
        <f>G126</f>
        <v>9.6</v>
      </c>
      <c r="J131" s="86" t="s">
        <v>37</v>
      </c>
      <c r="K131" s="51">
        <f>F131*G131+I131</f>
        <v>0</v>
      </c>
    </row>
    <row r="133" spans="7:10" ht="12.75">
      <c r="G133" s="14" t="s">
        <v>38</v>
      </c>
      <c r="H133" s="89">
        <f>G130</f>
        <v>0</v>
      </c>
      <c r="I133" s="12" t="s">
        <v>40</v>
      </c>
      <c r="J133" s="88">
        <f>K130</f>
        <v>9.6</v>
      </c>
    </row>
    <row r="134" spans="7:10" ht="12.75">
      <c r="G134" s="14" t="s">
        <v>39</v>
      </c>
      <c r="H134" s="87">
        <f>G131</f>
        <v>3</v>
      </c>
      <c r="I134" s="12" t="s">
        <v>40</v>
      </c>
      <c r="J134" s="88">
        <f>K131</f>
        <v>0</v>
      </c>
    </row>
    <row r="135" spans="2:4" ht="12.75">
      <c r="B135" s="10" t="s">
        <v>164</v>
      </c>
      <c r="D135" s="43">
        <f>F130</f>
        <v>-3.2</v>
      </c>
    </row>
    <row r="137" spans="1:2" ht="12.75">
      <c r="A137" s="5" t="s">
        <v>146</v>
      </c>
      <c r="B137" s="92" t="s">
        <v>433</v>
      </c>
    </row>
    <row r="138" ht="12.75">
      <c r="B138" s="10" t="s">
        <v>147</v>
      </c>
    </row>
    <row r="139" spans="2:10" ht="15.75">
      <c r="B139" s="14" t="s">
        <v>148</v>
      </c>
      <c r="C139" s="10" t="s">
        <v>149</v>
      </c>
      <c r="G139" s="1" t="s">
        <v>150</v>
      </c>
      <c r="J139" s="1" t="s">
        <v>242</v>
      </c>
    </row>
    <row r="140" ht="15.75">
      <c r="C140" s="10" t="s">
        <v>48</v>
      </c>
    </row>
    <row r="141" spans="2:4" ht="15.75">
      <c r="B141" s="14" t="s">
        <v>62</v>
      </c>
      <c r="D141" s="1" t="s">
        <v>286</v>
      </c>
    </row>
    <row r="142" ht="15.75">
      <c r="B142" s="10" t="s">
        <v>161</v>
      </c>
    </row>
    <row r="143" ht="12.75">
      <c r="B143" s="10" t="s">
        <v>8</v>
      </c>
    </row>
    <row r="144" ht="15.75">
      <c r="B144" s="10" t="s">
        <v>189</v>
      </c>
    </row>
    <row r="145" spans="6:8" ht="15.75">
      <c r="F145" s="31">
        <v>25</v>
      </c>
      <c r="H145" s="11" t="s">
        <v>123</v>
      </c>
    </row>
    <row r="146" ht="15.75">
      <c r="B146" s="10" t="s">
        <v>320</v>
      </c>
    </row>
    <row r="147" ht="15.75">
      <c r="F147" s="1" t="s">
        <v>152</v>
      </c>
    </row>
    <row r="148" ht="15.75">
      <c r="B148" s="31">
        <v>26</v>
      </c>
    </row>
    <row r="149" ht="15.75"/>
    <row r="150" spans="2:5" ht="15.75">
      <c r="B150" s="31">
        <v>27</v>
      </c>
      <c r="E150" s="1" t="s">
        <v>156</v>
      </c>
    </row>
    <row r="151" ht="15.75">
      <c r="B151" s="10" t="s">
        <v>133</v>
      </c>
    </row>
    <row r="152" ht="12.75">
      <c r="B152" s="10" t="s">
        <v>3</v>
      </c>
    </row>
    <row r="153" ht="12.75">
      <c r="B153" s="10" t="s">
        <v>4</v>
      </c>
    </row>
    <row r="154" ht="12.75">
      <c r="B154" s="10" t="s">
        <v>125</v>
      </c>
    </row>
    <row r="156" spans="2:10" ht="27">
      <c r="B156" s="10">
        <v>28</v>
      </c>
      <c r="D156" s="1" t="s">
        <v>126</v>
      </c>
      <c r="E156" s="95">
        <v>0</v>
      </c>
      <c r="F156" s="96">
        <v>0</v>
      </c>
      <c r="G156" s="1" t="s">
        <v>127</v>
      </c>
      <c r="H156" s="4" t="s">
        <v>27</v>
      </c>
      <c r="I156" s="43">
        <f>(E156*F156-E157*F156)</f>
        <v>0</v>
      </c>
      <c r="J156" s="1" t="s">
        <v>40</v>
      </c>
    </row>
    <row r="157" spans="5:6" ht="15.75">
      <c r="E157" s="95">
        <v>0</v>
      </c>
      <c r="F157" s="96">
        <f>H48*G49</f>
        <v>-10</v>
      </c>
    </row>
    <row r="158" spans="8:10" ht="27">
      <c r="H158" s="4" t="s">
        <v>128</v>
      </c>
      <c r="I158" s="43">
        <f>I156</f>
        <v>0</v>
      </c>
      <c r="J158" s="1" t="s">
        <v>129</v>
      </c>
    </row>
    <row r="159" spans="2:11" ht="18.75">
      <c r="B159" s="97" t="s">
        <v>130</v>
      </c>
      <c r="K159" s="39"/>
    </row>
    <row r="160" spans="2:4" ht="12.75">
      <c r="B160" s="10" t="s">
        <v>25</v>
      </c>
      <c r="D160" s="43"/>
    </row>
    <row r="161" ht="15.75"/>
    <row r="162" spans="2:10" ht="27">
      <c r="B162" s="10">
        <v>29</v>
      </c>
      <c r="E162" s="93">
        <f>F157</f>
        <v>-10</v>
      </c>
      <c r="F162" s="94">
        <f>D157</f>
        <v>0</v>
      </c>
      <c r="G162" s="12" t="s">
        <v>26</v>
      </c>
      <c r="H162" s="4" t="s">
        <v>27</v>
      </c>
      <c r="I162" s="39">
        <f>E162</f>
        <v>-10</v>
      </c>
      <c r="J162" s="1" t="s">
        <v>40</v>
      </c>
    </row>
    <row r="163" spans="5:6" ht="15.75">
      <c r="E163" s="93">
        <f>F156</f>
        <v>0</v>
      </c>
      <c r="F163" s="94">
        <f>E156</f>
        <v>0</v>
      </c>
    </row>
    <row r="164" spans="8:9" ht="27">
      <c r="H164" s="4" t="s">
        <v>128</v>
      </c>
      <c r="I164" s="39">
        <f>I158</f>
        <v>0</v>
      </c>
    </row>
    <row r="165" ht="12.75">
      <c r="B165" s="10" t="s">
        <v>28</v>
      </c>
    </row>
    <row r="166" ht="12.75">
      <c r="B166" s="10" t="s">
        <v>195</v>
      </c>
    </row>
    <row r="167" ht="12.75">
      <c r="B167" s="10" t="s">
        <v>196</v>
      </c>
    </row>
    <row r="169" spans="1:2" ht="12.75">
      <c r="A169" s="5" t="s">
        <v>197</v>
      </c>
      <c r="B169" s="92" t="s">
        <v>425</v>
      </c>
    </row>
    <row r="170" ht="12.75">
      <c r="B170" s="10" t="s">
        <v>309</v>
      </c>
    </row>
    <row r="172" ht="15.75"/>
    <row r="173" spans="2:5" ht="15.75">
      <c r="B173" s="10">
        <v>30</v>
      </c>
      <c r="E173" s="1" t="s">
        <v>292</v>
      </c>
    </row>
    <row r="174" ht="15.75"/>
    <row r="175" ht="15.75"/>
    <row r="176" ht="15.75">
      <c r="E176" s="1" t="s">
        <v>310</v>
      </c>
    </row>
    <row r="177" ht="15.75">
      <c r="E177" s="1" t="s">
        <v>29</v>
      </c>
    </row>
    <row r="178" ht="15.75">
      <c r="E178" s="1" t="s">
        <v>30</v>
      </c>
    </row>
    <row r="179" ht="15.75"/>
    <row r="180" spans="3:8" ht="15.75">
      <c r="C180" s="10" t="s">
        <v>61</v>
      </c>
      <c r="D180" s="4" t="s">
        <v>62</v>
      </c>
      <c r="H180" s="4" t="s">
        <v>63</v>
      </c>
    </row>
    <row r="181" ht="15.75"/>
    <row r="182" ht="15.75">
      <c r="B182" s="10" t="s">
        <v>359</v>
      </c>
    </row>
    <row r="183" ht="12.75">
      <c r="B183" s="10" t="s">
        <v>225</v>
      </c>
    </row>
    <row r="184" ht="13.5">
      <c r="B184" s="10" t="s">
        <v>153</v>
      </c>
    </row>
    <row r="190" spans="1:2" ht="12.75">
      <c r="A190" s="5" t="s">
        <v>226</v>
      </c>
      <c r="B190" s="92" t="s">
        <v>227</v>
      </c>
    </row>
    <row r="191" ht="13.5" thickBot="1">
      <c r="B191" s="10" t="s">
        <v>228</v>
      </c>
    </row>
    <row r="192" spans="3:8" ht="15.75">
      <c r="C192" s="1"/>
      <c r="D192" s="116">
        <v>2</v>
      </c>
      <c r="E192" s="16"/>
      <c r="F192" s="16"/>
      <c r="G192" s="16"/>
      <c r="H192" s="17">
        <v>2</v>
      </c>
    </row>
    <row r="193" spans="3:8" ht="15.75">
      <c r="C193" s="31">
        <v>31</v>
      </c>
      <c r="D193" s="18"/>
      <c r="E193" s="19">
        <v>3</v>
      </c>
      <c r="F193" s="20" t="s">
        <v>288</v>
      </c>
      <c r="G193" s="20">
        <v>-2</v>
      </c>
      <c r="H193" s="21" t="s">
        <v>291</v>
      </c>
    </row>
    <row r="194" spans="3:8" ht="16.5" thickBot="1">
      <c r="C194" s="1"/>
      <c r="D194" s="117">
        <v>0</v>
      </c>
      <c r="E194" s="22"/>
      <c r="F194" s="22"/>
      <c r="G194" s="22"/>
      <c r="H194" s="23"/>
    </row>
    <row r="195" ht="13.5" thickBot="1">
      <c r="H195" s="11"/>
    </row>
    <row r="196" spans="3:8" ht="15.75">
      <c r="C196" s="14" t="s">
        <v>292</v>
      </c>
      <c r="D196" s="83">
        <v>8</v>
      </c>
      <c r="E196" s="16" t="s">
        <v>9</v>
      </c>
      <c r="F196" s="24" t="s">
        <v>288</v>
      </c>
      <c r="G196" s="25">
        <f>D194</f>
        <v>0</v>
      </c>
      <c r="H196" s="26">
        <v>5</v>
      </c>
    </row>
    <row r="197" spans="4:8" ht="16.5" thickBot="1">
      <c r="D197" s="27"/>
      <c r="E197" s="22"/>
      <c r="F197" s="28" t="s">
        <v>288</v>
      </c>
      <c r="G197" s="29">
        <f>D192</f>
        <v>2</v>
      </c>
      <c r="H197" s="30" t="s">
        <v>170</v>
      </c>
    </row>
    <row r="199" ht="13.5" thickBot="1">
      <c r="B199" s="10" t="s">
        <v>10</v>
      </c>
    </row>
    <row r="200" spans="4:10" ht="12.75">
      <c r="D200" s="15"/>
      <c r="E200" s="16"/>
      <c r="F200" s="16"/>
      <c r="G200" s="16"/>
      <c r="H200" s="61">
        <f>H192</f>
        <v>2</v>
      </c>
      <c r="I200" s="16"/>
      <c r="J200" s="35"/>
    </row>
    <row r="201" spans="3:10" ht="16.5" thickBot="1">
      <c r="C201" s="31">
        <v>32</v>
      </c>
      <c r="D201" s="36" t="s">
        <v>11</v>
      </c>
      <c r="E201" s="37">
        <f>E193</f>
        <v>3</v>
      </c>
      <c r="F201" s="22" t="str">
        <f>F193</f>
        <v>x</v>
      </c>
      <c r="G201" s="22">
        <f>G193</f>
        <v>-2</v>
      </c>
      <c r="H201" s="22" t="s">
        <v>175</v>
      </c>
      <c r="I201" s="38">
        <f>D196</f>
        <v>8</v>
      </c>
      <c r="J201" s="23" t="s">
        <v>290</v>
      </c>
    </row>
    <row r="203" ht="12.75">
      <c r="B203" s="10" t="s">
        <v>12</v>
      </c>
    </row>
    <row r="204" ht="13.5" thickBot="1"/>
    <row r="205" spans="3:11" ht="15.75">
      <c r="C205" s="31">
        <v>33</v>
      </c>
      <c r="D205" s="15"/>
      <c r="E205" s="16" t="s">
        <v>13</v>
      </c>
      <c r="F205" s="40">
        <f>H200*G201</f>
        <v>-4</v>
      </c>
      <c r="G205" s="16" t="s">
        <v>175</v>
      </c>
      <c r="H205" s="40">
        <f>I201</f>
        <v>8</v>
      </c>
      <c r="I205" s="110" t="s">
        <v>209</v>
      </c>
      <c r="J205" s="42">
        <v>0</v>
      </c>
      <c r="K205" s="1" t="s">
        <v>174</v>
      </c>
    </row>
    <row r="206" spans="4:10" ht="16.5" thickBot="1">
      <c r="D206" s="27"/>
      <c r="E206" s="22"/>
      <c r="F206" s="22"/>
      <c r="G206" s="22"/>
      <c r="H206" s="22"/>
      <c r="I206" s="22"/>
      <c r="J206" s="23"/>
    </row>
    <row r="207" ht="13.5" thickBot="1"/>
    <row r="208" spans="3:6" ht="15" thickBot="1">
      <c r="C208" s="31">
        <v>34</v>
      </c>
      <c r="D208" s="45" t="s">
        <v>176</v>
      </c>
      <c r="E208" s="46">
        <f>-H205/F205</f>
        <v>2</v>
      </c>
      <c r="F208" s="109" t="s">
        <v>208</v>
      </c>
    </row>
    <row r="209" ht="13.5" thickBot="1">
      <c r="C209" s="31"/>
    </row>
    <row r="210" spans="3:10" ht="15.75">
      <c r="C210" s="31">
        <v>35</v>
      </c>
      <c r="D210" s="15"/>
      <c r="E210" s="44">
        <f>-E201</f>
        <v>-3</v>
      </c>
      <c r="G210" s="31">
        <v>36</v>
      </c>
      <c r="H210" s="15"/>
      <c r="I210" s="40">
        <f>D196</f>
        <v>8</v>
      </c>
      <c r="J210" s="35" t="s">
        <v>289</v>
      </c>
    </row>
    <row r="211" spans="4:10" ht="19.5" customHeight="1" thickBot="1">
      <c r="D211" s="27"/>
      <c r="E211" s="23"/>
      <c r="H211" s="27"/>
      <c r="I211" s="22"/>
      <c r="J211" s="23"/>
    </row>
    <row r="212" ht="13.5" thickBot="1"/>
    <row r="213" spans="2:7" ht="15" thickBot="1">
      <c r="B213" s="10" t="s">
        <v>171</v>
      </c>
      <c r="E213" s="45" t="s">
        <v>176</v>
      </c>
      <c r="F213" s="46">
        <f>E208</f>
        <v>2</v>
      </c>
      <c r="G213" s="109" t="s">
        <v>208</v>
      </c>
    </row>
    <row r="214" ht="13.5" thickBot="1"/>
    <row r="215" spans="3:9" ht="16.5" thickBot="1">
      <c r="C215" s="31">
        <v>36</v>
      </c>
      <c r="E215" s="48"/>
      <c r="F215" s="46">
        <f>I210</f>
        <v>8</v>
      </c>
      <c r="G215" s="49">
        <f>F213</f>
        <v>2</v>
      </c>
      <c r="H215" s="113" t="s">
        <v>157</v>
      </c>
      <c r="I215" s="51">
        <f>F215*G215</f>
        <v>16</v>
      </c>
    </row>
    <row r="217" ht="12.75">
      <c r="B217" s="10" t="s">
        <v>117</v>
      </c>
    </row>
    <row r="218" spans="2:8" ht="13.5">
      <c r="B218" s="10" t="s">
        <v>207</v>
      </c>
      <c r="H218" s="11"/>
    </row>
    <row r="219" ht="13.5" thickBot="1"/>
    <row r="220" spans="3:10" ht="27">
      <c r="C220" s="31">
        <v>37</v>
      </c>
      <c r="D220" s="15"/>
      <c r="E220" s="16"/>
      <c r="F220" s="40">
        <f>E210</f>
        <v>-3</v>
      </c>
      <c r="G220" s="16" t="s">
        <v>118</v>
      </c>
      <c r="H220" s="40">
        <f>E210</f>
        <v>-3</v>
      </c>
      <c r="I220" s="35" t="s">
        <v>119</v>
      </c>
      <c r="J220" s="1" t="s">
        <v>172</v>
      </c>
    </row>
    <row r="221" spans="3:9" ht="21" customHeight="1" thickBot="1">
      <c r="C221" s="31"/>
      <c r="D221" s="27"/>
      <c r="E221" s="22"/>
      <c r="F221" s="22"/>
      <c r="G221" s="22"/>
      <c r="H221" s="22"/>
      <c r="I221" s="23"/>
    </row>
    <row r="222" ht="13.5" thickBot="1">
      <c r="C222" s="31"/>
    </row>
    <row r="223" spans="3:11" ht="27.75" thickBot="1">
      <c r="C223" s="31">
        <v>38</v>
      </c>
      <c r="D223" s="48"/>
      <c r="E223" s="46">
        <f>I215</f>
        <v>16</v>
      </c>
      <c r="F223" s="49">
        <f>H220</f>
        <v>-3</v>
      </c>
      <c r="G223" s="50" t="s">
        <v>432</v>
      </c>
      <c r="H223" s="50">
        <f>E223*F223</f>
        <v>-48</v>
      </c>
      <c r="I223" s="50" t="s">
        <v>428</v>
      </c>
      <c r="J223" s="46">
        <f>I215</f>
        <v>16</v>
      </c>
      <c r="K223" s="47" t="s">
        <v>429</v>
      </c>
    </row>
    <row r="225" ht="13.5" thickBot="1">
      <c r="B225" s="10" t="s">
        <v>173</v>
      </c>
    </row>
    <row r="226" spans="3:9" ht="33" customHeight="1" thickBot="1">
      <c r="C226" s="31">
        <v>39</v>
      </c>
      <c r="D226" s="48"/>
      <c r="E226" s="52">
        <f>H223</f>
        <v>-48</v>
      </c>
      <c r="F226" s="53" t="s">
        <v>428</v>
      </c>
      <c r="G226" s="54">
        <f>J223</f>
        <v>16</v>
      </c>
      <c r="H226" s="55" t="s">
        <v>244</v>
      </c>
      <c r="I226" s="1" t="s">
        <v>394</v>
      </c>
    </row>
    <row r="227" spans="3:8" ht="13.5" thickBot="1">
      <c r="C227" s="31"/>
      <c r="D227" s="20"/>
      <c r="E227" s="56"/>
      <c r="F227" s="57"/>
      <c r="G227" s="58"/>
      <c r="H227" s="57"/>
    </row>
    <row r="228" spans="3:8" ht="12.75">
      <c r="C228" s="31"/>
      <c r="D228" s="59"/>
      <c r="E228" s="16"/>
      <c r="F228" s="61">
        <v>2</v>
      </c>
      <c r="G228" s="16"/>
      <c r="H228" s="35"/>
    </row>
    <row r="229" spans="3:8" ht="19.5" thickBot="1">
      <c r="C229" s="31">
        <v>40</v>
      </c>
      <c r="D229" s="36" t="s">
        <v>243</v>
      </c>
      <c r="E229" s="60">
        <f>E226/2</f>
        <v>-24</v>
      </c>
      <c r="F229" s="22" t="s">
        <v>395</v>
      </c>
      <c r="G229" s="60">
        <f>G226</f>
        <v>16</v>
      </c>
      <c r="H229" s="23" t="s">
        <v>396</v>
      </c>
    </row>
    <row r="231" ht="12.75">
      <c r="B231" s="10" t="s">
        <v>95</v>
      </c>
    </row>
    <row r="232" ht="13.5">
      <c r="B232" s="10" t="s">
        <v>124</v>
      </c>
    </row>
    <row r="233" ht="13.5" thickBot="1"/>
    <row r="234" spans="3:8" ht="15" thickBot="1">
      <c r="C234" s="31">
        <v>41</v>
      </c>
      <c r="D234" s="114" t="s">
        <v>208</v>
      </c>
      <c r="E234" s="81">
        <f>F213</f>
        <v>2</v>
      </c>
      <c r="F234" s="50" t="s">
        <v>96</v>
      </c>
      <c r="G234" s="51">
        <v>0</v>
      </c>
      <c r="H234" s="1" t="s">
        <v>97</v>
      </c>
    </row>
    <row r="235" ht="13.5" thickBot="1">
      <c r="H235" s="1" t="s">
        <v>98</v>
      </c>
    </row>
    <row r="236" spans="3:12" ht="19.5" thickBot="1">
      <c r="C236" s="31">
        <v>42</v>
      </c>
      <c r="D236" s="114" t="s">
        <v>208</v>
      </c>
      <c r="E236" s="81">
        <f>E234</f>
        <v>2</v>
      </c>
      <c r="F236" s="50" t="s">
        <v>96</v>
      </c>
      <c r="G236" s="46">
        <f>H220</f>
        <v>-3</v>
      </c>
      <c r="H236" s="85">
        <f>E208</f>
        <v>2</v>
      </c>
      <c r="I236" s="50" t="s">
        <v>199</v>
      </c>
      <c r="J236" s="51">
        <v>0</v>
      </c>
      <c r="K236" s="4" t="s">
        <v>325</v>
      </c>
      <c r="L236" s="98">
        <f>-G236*H236</f>
        <v>6</v>
      </c>
    </row>
    <row r="238" ht="12.75">
      <c r="B238" s="10" t="s">
        <v>101</v>
      </c>
    </row>
    <row r="239" ht="13.5" thickBot="1"/>
    <row r="240" spans="3:7" ht="13.5" thickBot="1">
      <c r="C240" s="31">
        <v>43</v>
      </c>
      <c r="D240" s="115" t="s">
        <v>154</v>
      </c>
      <c r="E240" s="46">
        <f>G236</f>
        <v>-3</v>
      </c>
      <c r="F240" s="50" t="s">
        <v>395</v>
      </c>
      <c r="G240" s="51">
        <f>L236</f>
        <v>6</v>
      </c>
    </row>
    <row r="241" spans="3:7" ht="12.75">
      <c r="C241" s="31"/>
      <c r="D241" s="32"/>
      <c r="E241" s="80"/>
      <c r="F241" s="20"/>
      <c r="G241" s="34"/>
    </row>
    <row r="242" ht="13.5" thickBot="1">
      <c r="B242" s="10" t="s">
        <v>102</v>
      </c>
    </row>
    <row r="243" spans="4:9" ht="12.75">
      <c r="D243" s="15"/>
      <c r="E243" s="16"/>
      <c r="F243" s="61">
        <f>F228</f>
        <v>2</v>
      </c>
      <c r="G243" s="16"/>
      <c r="H243" s="16"/>
      <c r="I243" s="35"/>
    </row>
    <row r="244" spans="3:10" ht="19.5" thickBot="1">
      <c r="C244" s="31">
        <v>44</v>
      </c>
      <c r="D244" s="36" t="s">
        <v>243</v>
      </c>
      <c r="E244" s="60">
        <f>E229</f>
        <v>-24</v>
      </c>
      <c r="F244" s="22" t="str">
        <f>F229</f>
        <v>t        +</v>
      </c>
      <c r="G244" s="60">
        <f>G229</f>
        <v>16</v>
      </c>
      <c r="H244" s="99">
        <f>L236</f>
        <v>6</v>
      </c>
      <c r="I244" s="23" t="s">
        <v>103</v>
      </c>
      <c r="J244" s="1" t="s">
        <v>174</v>
      </c>
    </row>
    <row r="245" ht="13.5" thickBot="1"/>
    <row r="246" spans="4:8" ht="12.75">
      <c r="D246" s="15"/>
      <c r="E246" s="16"/>
      <c r="F246" s="61">
        <f>F243</f>
        <v>2</v>
      </c>
      <c r="G246" s="16"/>
      <c r="H246" s="35"/>
    </row>
    <row r="247" spans="3:8" ht="19.5" thickBot="1">
      <c r="C247" s="31">
        <v>45</v>
      </c>
      <c r="D247" s="36" t="s">
        <v>243</v>
      </c>
      <c r="E247" s="60">
        <f>E244</f>
        <v>-24</v>
      </c>
      <c r="F247" s="22" t="str">
        <f>F244</f>
        <v>t        +</v>
      </c>
      <c r="G247" s="100">
        <f>G244*H244</f>
        <v>96</v>
      </c>
      <c r="H247" s="23" t="s">
        <v>104</v>
      </c>
    </row>
    <row r="249" spans="2:9" ht="13.5" thickBot="1">
      <c r="B249" s="10" t="s">
        <v>245</v>
      </c>
      <c r="G249" s="4" t="s">
        <v>288</v>
      </c>
      <c r="H249" s="101">
        <f>G196</f>
        <v>0</v>
      </c>
      <c r="I249" s="98">
        <f>H196</f>
        <v>5</v>
      </c>
    </row>
    <row r="250" spans="4:11" ht="12.75">
      <c r="D250" s="15"/>
      <c r="E250" s="16"/>
      <c r="F250" s="16"/>
      <c r="G250" s="64">
        <v>2</v>
      </c>
      <c r="H250" s="16"/>
      <c r="I250" s="16"/>
      <c r="J250" s="16"/>
      <c r="K250" s="35"/>
    </row>
    <row r="251" spans="3:11" ht="19.5" thickBot="1">
      <c r="C251" s="31">
        <v>46</v>
      </c>
      <c r="D251" s="36" t="s">
        <v>288</v>
      </c>
      <c r="E251" s="29">
        <f>D198</f>
        <v>0</v>
      </c>
      <c r="F251" s="60">
        <f>E247</f>
        <v>-24</v>
      </c>
      <c r="G251" s="75">
        <f>D194</f>
        <v>0</v>
      </c>
      <c r="H251" s="102">
        <f>G247</f>
        <v>96</v>
      </c>
      <c r="I251" s="66">
        <f>D194</f>
        <v>0</v>
      </c>
      <c r="J251" s="22" t="s">
        <v>104</v>
      </c>
      <c r="K251" s="103">
        <f>H196</f>
        <v>5</v>
      </c>
    </row>
    <row r="252" ht="13.5" thickBot="1"/>
    <row r="253" spans="4:6" ht="19.5" thickBot="1">
      <c r="D253" s="45" t="s">
        <v>323</v>
      </c>
      <c r="E253" s="51">
        <f>K251-(F251*(G251^G250)+H251*I251)</f>
        <v>5</v>
      </c>
      <c r="F253" s="1" t="s">
        <v>246</v>
      </c>
    </row>
    <row r="254" spans="4:5" ht="13.5" thickBot="1">
      <c r="D254" s="4"/>
      <c r="E254" s="98"/>
    </row>
    <row r="255" spans="4:8" ht="12.75">
      <c r="D255" s="15"/>
      <c r="E255" s="16"/>
      <c r="F255" s="61">
        <f>F246</f>
        <v>2</v>
      </c>
      <c r="G255" s="16"/>
      <c r="H255" s="35"/>
    </row>
    <row r="256" spans="3:8" ht="13.5" thickBot="1">
      <c r="C256" s="31">
        <v>47</v>
      </c>
      <c r="D256" s="36" t="s">
        <v>243</v>
      </c>
      <c r="E256" s="60">
        <f>F251</f>
        <v>-24</v>
      </c>
      <c r="F256" s="22" t="str">
        <f>F247</f>
        <v>t        +</v>
      </c>
      <c r="G256" s="104">
        <f>H251</f>
        <v>96</v>
      </c>
      <c r="H256" s="91">
        <f>K251</f>
        <v>5</v>
      </c>
    </row>
    <row r="258" ht="12.75">
      <c r="B258" s="10" t="s">
        <v>247</v>
      </c>
    </row>
    <row r="259" ht="13.5" thickBot="1"/>
    <row r="260" spans="3:7" ht="15" thickBot="1">
      <c r="C260" s="31">
        <v>48</v>
      </c>
      <c r="D260" s="45" t="s">
        <v>248</v>
      </c>
      <c r="E260" s="46">
        <f>E208</f>
        <v>2</v>
      </c>
      <c r="F260" s="109" t="s">
        <v>208</v>
      </c>
      <c r="G260" s="1" t="s">
        <v>249</v>
      </c>
    </row>
    <row r="261" ht="13.5" thickBot="1"/>
    <row r="262" spans="3:12" ht="13.5" thickBot="1">
      <c r="C262" s="31">
        <v>49</v>
      </c>
      <c r="D262" s="45" t="s">
        <v>5</v>
      </c>
      <c r="E262" s="46">
        <f>E260</f>
        <v>2</v>
      </c>
      <c r="F262" s="105">
        <f>E193</f>
        <v>3</v>
      </c>
      <c r="G262" s="50" t="str">
        <f>F240</f>
        <v>t        +</v>
      </c>
      <c r="H262" s="106">
        <f>G240</f>
        <v>6</v>
      </c>
      <c r="I262" s="1" t="s">
        <v>220</v>
      </c>
      <c r="J262" s="107">
        <f>-E262*F262</f>
        <v>-6</v>
      </c>
      <c r="K262" s="50" t="s">
        <v>428</v>
      </c>
      <c r="L262" s="51">
        <f>E262*H262</f>
        <v>12</v>
      </c>
    </row>
    <row r="263" ht="12.75">
      <c r="J263" s="1" t="s">
        <v>250</v>
      </c>
    </row>
    <row r="264" ht="12.75">
      <c r="B264" s="10" t="s">
        <v>111</v>
      </c>
    </row>
    <row r="265" ht="13.5" thickBot="1"/>
    <row r="266" spans="3:12" ht="13.5" thickBot="1">
      <c r="C266" s="31">
        <v>50</v>
      </c>
      <c r="D266" s="45" t="s">
        <v>289</v>
      </c>
      <c r="E266" s="85">
        <f>D194</f>
        <v>0</v>
      </c>
      <c r="F266" s="86" t="s">
        <v>112</v>
      </c>
      <c r="G266" s="46">
        <f>J262</f>
        <v>-6</v>
      </c>
      <c r="H266" s="85">
        <f>E266</f>
        <v>0</v>
      </c>
      <c r="I266" s="86" t="s">
        <v>36</v>
      </c>
      <c r="J266" s="46">
        <f>L262</f>
        <v>12</v>
      </c>
      <c r="K266" s="86" t="s">
        <v>113</v>
      </c>
      <c r="L266" s="51">
        <f>L262</f>
        <v>12</v>
      </c>
    </row>
    <row r="267" spans="3:4" ht="13.5" thickBot="1">
      <c r="C267" s="31"/>
      <c r="D267" s="4" t="s">
        <v>114</v>
      </c>
    </row>
    <row r="268" spans="3:12" ht="13.5" thickBot="1">
      <c r="C268" s="31">
        <v>51</v>
      </c>
      <c r="D268" s="45" t="s">
        <v>289</v>
      </c>
      <c r="E268" s="85">
        <f>D192</f>
        <v>2</v>
      </c>
      <c r="F268" s="86" t="s">
        <v>112</v>
      </c>
      <c r="G268" s="46">
        <f>G266</f>
        <v>-6</v>
      </c>
      <c r="H268" s="85">
        <f>E268</f>
        <v>2</v>
      </c>
      <c r="I268" s="86" t="s">
        <v>36</v>
      </c>
      <c r="J268" s="46">
        <f>L262</f>
        <v>12</v>
      </c>
      <c r="K268" s="86" t="s">
        <v>113</v>
      </c>
      <c r="L268" s="51">
        <f>J268+G268*H268</f>
        <v>0</v>
      </c>
    </row>
    <row r="269" ht="12.75">
      <c r="C269" s="31"/>
    </row>
    <row r="270" spans="7:10" ht="12.75">
      <c r="G270" s="14" t="s">
        <v>38</v>
      </c>
      <c r="H270" s="89">
        <f>E266</f>
        <v>0</v>
      </c>
      <c r="I270" s="12" t="s">
        <v>40</v>
      </c>
      <c r="J270" s="88">
        <f>L266</f>
        <v>12</v>
      </c>
    </row>
    <row r="271" spans="7:10" ht="12.75">
      <c r="G271" s="14" t="s">
        <v>39</v>
      </c>
      <c r="H271" s="87">
        <f>E268</f>
        <v>2</v>
      </c>
      <c r="I271" s="12" t="s">
        <v>40</v>
      </c>
      <c r="J271" s="88">
        <f>L268</f>
        <v>0</v>
      </c>
    </row>
    <row r="272" spans="2:4" ht="12.75">
      <c r="B272" s="10" t="s">
        <v>164</v>
      </c>
      <c r="D272" s="43">
        <f>G268</f>
        <v>-6</v>
      </c>
    </row>
    <row r="274" ht="12.75">
      <c r="B274" s="10" t="s">
        <v>115</v>
      </c>
    </row>
    <row r="275" ht="12.75">
      <c r="B275" s="10" t="s">
        <v>255</v>
      </c>
    </row>
    <row r="277" spans="2:10" ht="27">
      <c r="B277" s="10">
        <v>52</v>
      </c>
      <c r="E277" s="93">
        <f>E156</f>
        <v>0</v>
      </c>
      <c r="F277" s="94">
        <f>F156</f>
        <v>0</v>
      </c>
      <c r="G277" s="12" t="s">
        <v>26</v>
      </c>
      <c r="H277" s="4" t="s">
        <v>27</v>
      </c>
      <c r="I277" s="43">
        <f>(F278*E277-E278*F277)</f>
        <v>0</v>
      </c>
      <c r="J277" s="1" t="s">
        <v>40</v>
      </c>
    </row>
    <row r="278" spans="5:6" ht="15.75">
      <c r="E278" s="93">
        <f>E157</f>
        <v>0</v>
      </c>
      <c r="F278" s="94">
        <f>H192*G193</f>
        <v>-4</v>
      </c>
    </row>
    <row r="279" spans="8:9" ht="27">
      <c r="H279" s="4" t="s">
        <v>128</v>
      </c>
      <c r="I279" s="43">
        <f>I164</f>
        <v>0</v>
      </c>
    </row>
    <row r="280" ht="18.75">
      <c r="B280" s="97" t="s">
        <v>130</v>
      </c>
    </row>
    <row r="281" ht="12.75">
      <c r="B281" s="10" t="s">
        <v>25</v>
      </c>
    </row>
    <row r="283" spans="2:10" ht="27">
      <c r="B283" s="10">
        <v>53</v>
      </c>
      <c r="E283" s="93">
        <f>F278</f>
        <v>-4</v>
      </c>
      <c r="F283" s="94">
        <f>E278</f>
        <v>0</v>
      </c>
      <c r="G283" s="12" t="s">
        <v>26</v>
      </c>
      <c r="H283" s="4" t="s">
        <v>27</v>
      </c>
      <c r="I283" s="39">
        <f>E283</f>
        <v>-4</v>
      </c>
      <c r="J283" s="1" t="s">
        <v>40</v>
      </c>
    </row>
    <row r="284" spans="5:6" ht="15.75">
      <c r="E284" s="93">
        <f>F277</f>
        <v>0</v>
      </c>
      <c r="F284" s="94">
        <f>E277</f>
        <v>0</v>
      </c>
    </row>
    <row r="285" spans="8:9" ht="27">
      <c r="H285" s="4" t="s">
        <v>128</v>
      </c>
      <c r="I285" s="39">
        <f>E283*F283-E284*F284</f>
        <v>0</v>
      </c>
    </row>
    <row r="286" ht="12.75">
      <c r="B286" s="10" t="s">
        <v>436</v>
      </c>
    </row>
    <row r="287" ht="12.75">
      <c r="B287" s="10" t="s">
        <v>437</v>
      </c>
    </row>
    <row r="289" spans="1:2" ht="12.75">
      <c r="A289" s="5" t="s">
        <v>201</v>
      </c>
      <c r="B289" s="92" t="s">
        <v>200</v>
      </c>
    </row>
    <row r="290" ht="18.75">
      <c r="B290" s="10" t="s">
        <v>202</v>
      </c>
    </row>
    <row r="291" ht="18.75">
      <c r="B291" s="10" t="s">
        <v>360</v>
      </c>
    </row>
    <row r="292" ht="12.75">
      <c r="B292" s="10" t="s">
        <v>430</v>
      </c>
    </row>
    <row r="293" ht="18.75">
      <c r="B293" s="108" t="s">
        <v>231</v>
      </c>
    </row>
    <row r="294" ht="18.75">
      <c r="B294" s="10" t="s">
        <v>223</v>
      </c>
    </row>
    <row r="295" ht="12.75">
      <c r="B295" s="10" t="s">
        <v>222</v>
      </c>
    </row>
    <row r="296" ht="18.75">
      <c r="B296" s="108" t="s">
        <v>198</v>
      </c>
    </row>
    <row r="297" ht="12.75">
      <c r="B297" s="10" t="s">
        <v>163</v>
      </c>
    </row>
    <row r="298" ht="12.75">
      <c r="B298" s="10" t="s">
        <v>151</v>
      </c>
    </row>
    <row r="299" ht="12.75">
      <c r="B299" s="10" t="s">
        <v>251</v>
      </c>
    </row>
    <row r="300" ht="12.75">
      <c r="B300" s="10" t="s">
        <v>252</v>
      </c>
    </row>
    <row r="302" spans="1:2" ht="12.75">
      <c r="A302" s="5" t="s">
        <v>253</v>
      </c>
      <c r="B302" s="92" t="s">
        <v>370</v>
      </c>
    </row>
    <row r="303" ht="13.5" thickBot="1">
      <c r="B303" s="10" t="s">
        <v>228</v>
      </c>
    </row>
    <row r="304" spans="3:8" ht="15.75">
      <c r="C304" s="1"/>
      <c r="D304" s="116">
        <v>2</v>
      </c>
      <c r="E304" s="16"/>
      <c r="F304" s="16"/>
      <c r="G304" s="16"/>
      <c r="H304" s="112">
        <v>2</v>
      </c>
    </row>
    <row r="305" spans="3:8" ht="15.75">
      <c r="C305" s="31">
        <v>54</v>
      </c>
      <c r="D305" s="18"/>
      <c r="E305" s="19">
        <v>3</v>
      </c>
      <c r="F305" s="20" t="s">
        <v>288</v>
      </c>
      <c r="G305" s="20">
        <v>-2</v>
      </c>
      <c r="H305" s="21" t="s">
        <v>291</v>
      </c>
    </row>
    <row r="306" spans="3:8" ht="16.5" thickBot="1">
      <c r="C306" s="1"/>
      <c r="D306" s="117">
        <v>0</v>
      </c>
      <c r="E306" s="22"/>
      <c r="F306" s="22"/>
      <c r="G306" s="22"/>
      <c r="H306" s="23"/>
    </row>
    <row r="307" ht="13.5" thickBot="1">
      <c r="H307" s="11"/>
    </row>
    <row r="308" spans="3:8" ht="15.75">
      <c r="C308" s="14" t="s">
        <v>292</v>
      </c>
      <c r="D308" s="83">
        <v>8</v>
      </c>
      <c r="E308" s="16" t="s">
        <v>9</v>
      </c>
      <c r="F308" s="24" t="s">
        <v>288</v>
      </c>
      <c r="G308" s="25">
        <f>D306</f>
        <v>0</v>
      </c>
      <c r="H308" s="26">
        <v>5</v>
      </c>
    </row>
    <row r="309" spans="4:8" ht="16.5" thickBot="1">
      <c r="D309" s="27"/>
      <c r="E309" s="22"/>
      <c r="F309" s="28" t="s">
        <v>288</v>
      </c>
      <c r="G309" s="111">
        <f>D304</f>
        <v>2</v>
      </c>
      <c r="H309" s="30">
        <v>95</v>
      </c>
    </row>
    <row r="311" ht="13.5" thickBot="1">
      <c r="B311" s="10" t="s">
        <v>10</v>
      </c>
    </row>
    <row r="312" spans="4:10" ht="12.75">
      <c r="D312" s="15"/>
      <c r="E312" s="16"/>
      <c r="F312" s="16"/>
      <c r="G312" s="16"/>
      <c r="H312" s="61">
        <f>H304</f>
        <v>2</v>
      </c>
      <c r="I312" s="16"/>
      <c r="J312" s="35"/>
    </row>
    <row r="313" spans="3:10" ht="16.5" thickBot="1">
      <c r="C313" s="31">
        <v>55</v>
      </c>
      <c r="D313" s="36" t="s">
        <v>11</v>
      </c>
      <c r="E313" s="37">
        <f>E305</f>
        <v>3</v>
      </c>
      <c r="F313" s="22" t="str">
        <f>F305</f>
        <v>x</v>
      </c>
      <c r="G313" s="22">
        <f>G305</f>
        <v>-2</v>
      </c>
      <c r="H313" s="22" t="s">
        <v>183</v>
      </c>
      <c r="I313" s="38">
        <f>D308</f>
        <v>8</v>
      </c>
      <c r="J313" s="23" t="s">
        <v>290</v>
      </c>
    </row>
    <row r="315" ht="12.75">
      <c r="B315" s="10" t="s">
        <v>254</v>
      </c>
    </row>
    <row r="317" spans="1:16" ht="10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0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0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0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0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0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0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0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</sheetData>
  <printOptions/>
  <pageMargins left="0.3" right="0.3" top="0.7" bottom="0.7" header="0.5" footer="0.5"/>
  <pageSetup orientation="portrait" paperSize="9" scale="80"/>
  <headerFooter alignWithMargins="0">
    <oddHeader>&amp;CA.ARenResourceOptControl.xls</oddHeader>
    <oddFooter>&amp;CPage &amp;P of &amp;N</oddFooter>
  </headerFooter>
  <legacyDrawing r:id="rId50"/>
  <oleObjects>
    <oleObject progId="Equation.3" shapeId="811906" r:id="rId1"/>
    <oleObject progId="Equation.3" shapeId="811914" r:id="rId2"/>
    <oleObject progId="Equation.3" shapeId="811916" r:id="rId3"/>
    <oleObject progId="Equation.3" shapeId="811918" r:id="rId4"/>
    <oleObject progId="Equation.3" shapeId="811919" r:id="rId5"/>
    <oleObject progId="Equation.3" shapeId="811922" r:id="rId6"/>
    <oleObject progId="Equation.3" shapeId="811925" r:id="rId7"/>
    <oleObject progId="Equation.3" shapeId="811926" r:id="rId8"/>
    <oleObject progId="Equation.3" shapeId="811927" r:id="rId9"/>
    <oleObject progId="Equation.3" shapeId="811929" r:id="rId10"/>
    <oleObject progId="Equation.3" shapeId="811930" r:id="rId11"/>
    <oleObject progId="Equation.3" shapeId="811931" r:id="rId12"/>
    <oleObject progId="Equation.3" shapeId="811932" r:id="rId13"/>
    <oleObject progId="Equation.3" shapeId="811933" r:id="rId14"/>
    <oleObject progId="Equation.3" shapeId="811934" r:id="rId15"/>
    <oleObject progId="Equation.3" shapeId="811936" r:id="rId16"/>
    <oleObject progId="Equation.3" shapeId="811937" r:id="rId17"/>
    <oleObject progId="Equation.3" shapeId="811938" r:id="rId18"/>
    <oleObject progId="Equation.3" shapeId="811941" r:id="rId19"/>
    <oleObject progId="Equation.3" shapeId="811942" r:id="rId20"/>
    <oleObject progId="Equation.3" shapeId="811944" r:id="rId21"/>
    <oleObject progId="Equation.3" shapeId="811945" r:id="rId22"/>
    <oleObject progId="Equation.3" shapeId="811947" r:id="rId23"/>
    <oleObject progId="Equation.3" shapeId="811948" r:id="rId24"/>
    <oleObject progId="Equation.3" shapeId="811950" r:id="rId25"/>
    <oleObject progId="Equation.3" shapeId="811951" r:id="rId26"/>
    <oleObject progId="Equation.3" shapeId="811953" r:id="rId27"/>
    <oleObject progId="Equation.3" shapeId="811954" r:id="rId28"/>
    <oleObject progId="Equation.3" shapeId="811957" r:id="rId29"/>
    <oleObject progId="Equation.3" shapeId="811958" r:id="rId30"/>
    <oleObject progId="Equation.3" shapeId="811959" r:id="rId31"/>
    <oleObject progId="Equation.3" shapeId="811964" r:id="rId32"/>
    <oleObject progId="Equation.3" shapeId="811966" r:id="rId33"/>
    <oleObject progId="Equation.3" shapeId="811968" r:id="rId34"/>
    <oleObject progId="Equation.3" shapeId="811969" r:id="rId35"/>
    <oleObject progId="Equation.3" shapeId="811970" r:id="rId36"/>
    <oleObject progId="Equation.3" shapeId="811973" r:id="rId37"/>
    <oleObject progId="Equation.3" shapeId="811974" r:id="rId38"/>
    <oleObject progId="Equation.3" shapeId="811975" r:id="rId39"/>
    <oleObject progId="Equation.3" shapeId="811976" r:id="rId40"/>
    <oleObject progId="Equation.3" shapeId="811978" r:id="rId41"/>
    <oleObject progId="Equation.3" shapeId="811980" r:id="rId42"/>
    <oleObject progId="Equation.3" shapeId="811981" r:id="rId43"/>
    <oleObject progId="Equation.3" shapeId="811982" r:id="rId44"/>
    <oleObject progId="Equation.3" shapeId="811986" r:id="rId45"/>
    <oleObject progId="Equation.3" shapeId="811987" r:id="rId46"/>
    <oleObject progId="Equation.3" shapeId="811988" r:id="rId47"/>
    <oleObject progId="Equation.3" shapeId="811989" r:id="rId48"/>
    <oleObject progId="Equation.3" shapeId="811991" r:id="rId4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M42"/>
    </sheetView>
  </sheetViews>
  <sheetFormatPr defaultColWidth="11.421875" defaultRowHeight="12"/>
  <cols>
    <col min="1" max="1" width="11.00390625" style="1" customWidth="1"/>
    <col min="2" max="2" width="11.8515625" style="1" bestFit="1" customWidth="1"/>
    <col min="3" max="4" width="11.00390625" style="1" customWidth="1"/>
    <col min="5" max="5" width="17.421875" style="1" customWidth="1"/>
    <col min="6" max="6" width="12.8515625" style="1" customWidth="1"/>
    <col min="7" max="11" width="11.00390625" style="1" customWidth="1"/>
    <col min="12" max="12" width="4.57421875" style="1" customWidth="1"/>
    <col min="13" max="16384" width="11.00390625" style="1" customWidth="1"/>
  </cols>
  <sheetData>
    <row r="1" spans="1:11" ht="16.5" customHeight="1" thickBot="1">
      <c r="A1" s="45" t="s">
        <v>417</v>
      </c>
      <c r="B1" s="215">
        <v>10</v>
      </c>
      <c r="E1" s="131"/>
      <c r="F1" s="2"/>
      <c r="G1" s="2"/>
      <c r="H1" s="3" t="s">
        <v>211</v>
      </c>
      <c r="I1" s="2"/>
      <c r="J1" s="2"/>
      <c r="K1" s="132"/>
    </row>
    <row r="2" spans="1:11" ht="13.5" thickBot="1">
      <c r="A2" s="45" t="s">
        <v>418</v>
      </c>
      <c r="B2" s="215">
        <v>1</v>
      </c>
      <c r="D2" s="4" t="s">
        <v>137</v>
      </c>
      <c r="F2" s="119" t="s">
        <v>216</v>
      </c>
      <c r="K2" s="4" t="s">
        <v>210</v>
      </c>
    </row>
    <row r="3" spans="1:8" ht="21" customHeight="1" thickBot="1">
      <c r="A3" s="45" t="s">
        <v>419</v>
      </c>
      <c r="B3" s="215">
        <v>0.5</v>
      </c>
      <c r="C3" s="45" t="s">
        <v>74</v>
      </c>
      <c r="D3" s="138">
        <v>0.05</v>
      </c>
      <c r="E3" s="48"/>
      <c r="F3" s="177" t="s">
        <v>214</v>
      </c>
      <c r="G3" s="214">
        <f>B4*(B3-B5)/(2*B3)</f>
        <v>0.45</v>
      </c>
      <c r="H3" s="1" t="s">
        <v>321</v>
      </c>
    </row>
    <row r="4" spans="1:10" ht="21" customHeight="1" thickBot="1">
      <c r="A4" s="45" t="s">
        <v>420</v>
      </c>
      <c r="B4" s="215">
        <v>1</v>
      </c>
      <c r="C4" s="45" t="s">
        <v>79</v>
      </c>
      <c r="D4" s="138">
        <v>0.2</v>
      </c>
      <c r="E4" s="48"/>
      <c r="F4" s="177" t="s">
        <v>213</v>
      </c>
      <c r="G4" s="184">
        <f>B4*((B3^2)-(B5^2))/(4*B3)</f>
        <v>0.12375</v>
      </c>
      <c r="I4" s="182" t="s">
        <v>184</v>
      </c>
      <c r="J4" s="136">
        <f>1/(1+$B$9)</f>
        <v>0.9523809523809523</v>
      </c>
    </row>
    <row r="5" spans="1:7" ht="21" customHeight="1" thickBot="1">
      <c r="A5" s="114" t="s">
        <v>421</v>
      </c>
      <c r="B5" s="215">
        <v>0.05</v>
      </c>
      <c r="E5" s="171"/>
      <c r="F5" s="178" t="s">
        <v>136</v>
      </c>
      <c r="G5" s="184">
        <f>(1+B5)*(B1-B2*((B3^2)-(B5^2))/(4*B3))</f>
        <v>10.370062500000001</v>
      </c>
    </row>
    <row r="6" spans="1:2" ht="15" thickBot="1">
      <c r="A6" s="114" t="s">
        <v>422</v>
      </c>
      <c r="B6" s="216">
        <f>1/(1+B5)</f>
        <v>0.9523809523809523</v>
      </c>
    </row>
    <row r="7" spans="1:4" ht="21.75" customHeight="1" thickBot="1">
      <c r="A7" s="47"/>
      <c r="B7" s="179" t="s">
        <v>75</v>
      </c>
      <c r="C7" s="179" t="s">
        <v>76</v>
      </c>
      <c r="D7" s="180" t="s">
        <v>185</v>
      </c>
    </row>
    <row r="8" spans="1:9" ht="13.5" thickBot="1">
      <c r="A8" s="137" t="s">
        <v>18</v>
      </c>
      <c r="B8" s="137" t="s">
        <v>423</v>
      </c>
      <c r="C8" s="137" t="s">
        <v>424</v>
      </c>
      <c r="D8" s="137" t="s">
        <v>313</v>
      </c>
      <c r="E8" s="1" t="s">
        <v>77</v>
      </c>
      <c r="F8" s="1" t="s">
        <v>78</v>
      </c>
      <c r="G8" s="1" t="s">
        <v>77</v>
      </c>
      <c r="H8" s="1" t="s">
        <v>77</v>
      </c>
      <c r="I8" s="1" t="s">
        <v>78</v>
      </c>
    </row>
    <row r="9" spans="1:9" ht="13.5" thickBot="1">
      <c r="A9" s="123">
        <v>0</v>
      </c>
      <c r="B9" s="138">
        <v>0.05</v>
      </c>
      <c r="C9" s="181">
        <f>$D$4</f>
        <v>0.2</v>
      </c>
      <c r="D9" s="181">
        <f aca="true" t="shared" si="0" ref="D9:D18">($B$6^A9)*($B$1*B9-($B$2/2)*B9^2)</f>
        <v>0.49875</v>
      </c>
      <c r="E9" s="12">
        <f aca="true" t="shared" si="1" ref="E9:E18">$D$3</f>
        <v>0.05</v>
      </c>
      <c r="F9" s="12">
        <f aca="true" t="shared" si="2" ref="F9:F18">B9</f>
        <v>0.05</v>
      </c>
      <c r="G9" s="136">
        <f>$D$4</f>
        <v>0.2</v>
      </c>
      <c r="H9" s="136">
        <v>0.2</v>
      </c>
      <c r="I9" s="136">
        <f aca="true" t="shared" si="3" ref="I9:I19">C9</f>
        <v>0.2</v>
      </c>
    </row>
    <row r="10" spans="1:9" ht="13.5" thickBot="1">
      <c r="A10" s="123">
        <f aca="true" t="shared" si="4" ref="A10:A19">A9+1</f>
        <v>1</v>
      </c>
      <c r="B10" s="138">
        <v>0.05</v>
      </c>
      <c r="C10" s="181">
        <f>C9+$B$3*C9*(1-C9/$B$4)-B9</f>
        <v>0.23000000000000004</v>
      </c>
      <c r="D10" s="181">
        <f t="shared" si="0"/>
        <v>0.475</v>
      </c>
      <c r="E10" s="12">
        <f t="shared" si="1"/>
        <v>0.05</v>
      </c>
      <c r="F10" s="12">
        <f t="shared" si="2"/>
        <v>0.05</v>
      </c>
      <c r="G10" s="135">
        <f aca="true" t="shared" si="5" ref="G10:G19">G9+$B$3*G9*(1-G9/$B$4)-F9</f>
        <v>0.23000000000000004</v>
      </c>
      <c r="H10" s="135">
        <v>0.23</v>
      </c>
      <c r="I10" s="136">
        <f t="shared" si="3"/>
        <v>0.23000000000000004</v>
      </c>
    </row>
    <row r="11" spans="1:9" ht="13.5" thickBot="1">
      <c r="A11" s="123">
        <f t="shared" si="4"/>
        <v>2</v>
      </c>
      <c r="B11" s="138">
        <v>0.05</v>
      </c>
      <c r="C11" s="181">
        <f aca="true" t="shared" si="6" ref="C11:C19">C10+$B$3*C10*(1-C10/$B$4)-B10</f>
        <v>0.26855000000000007</v>
      </c>
      <c r="D11" s="181">
        <f t="shared" si="0"/>
        <v>0.4523809523809524</v>
      </c>
      <c r="E11" s="12">
        <f t="shared" si="1"/>
        <v>0.05</v>
      </c>
      <c r="F11" s="12">
        <f t="shared" si="2"/>
        <v>0.05</v>
      </c>
      <c r="G11" s="135">
        <f t="shared" si="5"/>
        <v>0.26855000000000007</v>
      </c>
      <c r="H11" s="135">
        <v>0.26855000000000007</v>
      </c>
      <c r="I11" s="136">
        <f t="shared" si="3"/>
        <v>0.26855000000000007</v>
      </c>
    </row>
    <row r="12" spans="1:9" ht="13.5" thickBot="1">
      <c r="A12" s="123">
        <f t="shared" si="4"/>
        <v>3</v>
      </c>
      <c r="B12" s="138">
        <v>0.05</v>
      </c>
      <c r="C12" s="181">
        <f t="shared" si="6"/>
        <v>0.31676544875000007</v>
      </c>
      <c r="D12" s="181">
        <f t="shared" si="0"/>
        <v>0.4308390022675737</v>
      </c>
      <c r="E12" s="12">
        <f t="shared" si="1"/>
        <v>0.05</v>
      </c>
      <c r="F12" s="12">
        <f t="shared" si="2"/>
        <v>0.05</v>
      </c>
      <c r="G12" s="135">
        <f t="shared" si="5"/>
        <v>0.31676544875000007</v>
      </c>
      <c r="H12" s="135">
        <v>0.31676544875000007</v>
      </c>
      <c r="I12" s="136">
        <f t="shared" si="3"/>
        <v>0.31676544875000007</v>
      </c>
    </row>
    <row r="13" spans="1:9" ht="13.5" thickBot="1">
      <c r="A13" s="123">
        <f t="shared" si="4"/>
        <v>4</v>
      </c>
      <c r="B13" s="138">
        <v>0.05</v>
      </c>
      <c r="C13" s="181">
        <f t="shared" si="6"/>
        <v>0.37497799836410567</v>
      </c>
      <c r="D13" s="181">
        <f t="shared" si="0"/>
        <v>0.4103228593024511</v>
      </c>
      <c r="E13" s="12">
        <f t="shared" si="1"/>
        <v>0.05</v>
      </c>
      <c r="F13" s="12">
        <f t="shared" si="2"/>
        <v>0.05</v>
      </c>
      <c r="G13" s="135">
        <f t="shared" si="5"/>
        <v>0.37497799836410567</v>
      </c>
      <c r="H13" s="135">
        <v>0.37497799836410567</v>
      </c>
      <c r="I13" s="136">
        <f t="shared" si="3"/>
        <v>0.37497799836410567</v>
      </c>
    </row>
    <row r="14" spans="1:9" ht="13.5" thickBot="1">
      <c r="A14" s="123">
        <f t="shared" si="4"/>
        <v>5</v>
      </c>
      <c r="B14" s="138">
        <v>0.05</v>
      </c>
      <c r="C14" s="181">
        <f t="shared" si="6"/>
        <v>0.44216274791758287</v>
      </c>
      <c r="D14" s="181">
        <f t="shared" si="0"/>
        <v>0.39078367552614385</v>
      </c>
      <c r="E14" s="12">
        <f t="shared" si="1"/>
        <v>0.05</v>
      </c>
      <c r="F14" s="12">
        <f t="shared" si="2"/>
        <v>0.05</v>
      </c>
      <c r="G14" s="135">
        <f t="shared" si="5"/>
        <v>0.44216274791758287</v>
      </c>
      <c r="H14" s="135">
        <v>0.44216274791758287</v>
      </c>
      <c r="I14" s="136">
        <f t="shared" si="3"/>
        <v>0.44216274791758287</v>
      </c>
    </row>
    <row r="15" spans="1:9" ht="13.5" thickBot="1">
      <c r="A15" s="123">
        <f t="shared" si="4"/>
        <v>6</v>
      </c>
      <c r="B15" s="138">
        <v>0.05</v>
      </c>
      <c r="C15" s="181">
        <f t="shared" si="6"/>
        <v>0.5154901740533603</v>
      </c>
      <c r="D15" s="181">
        <f t="shared" si="0"/>
        <v>0.372174929072518</v>
      </c>
      <c r="E15" s="12">
        <f t="shared" si="1"/>
        <v>0.05</v>
      </c>
      <c r="F15" s="12">
        <f t="shared" si="2"/>
        <v>0.05</v>
      </c>
      <c r="G15" s="135">
        <f t="shared" si="5"/>
        <v>0.5154901740533603</v>
      </c>
      <c r="H15" s="135">
        <v>0.5154901740533603</v>
      </c>
      <c r="I15" s="136">
        <f t="shared" si="3"/>
        <v>0.5154901740533603</v>
      </c>
    </row>
    <row r="16" spans="1:9" ht="13.5" thickBot="1">
      <c r="A16" s="123">
        <f t="shared" si="4"/>
        <v>7</v>
      </c>
      <c r="B16" s="138">
        <v>0.05</v>
      </c>
      <c r="C16" s="181">
        <f t="shared" si="6"/>
        <v>0.5903702013072585</v>
      </c>
      <c r="D16" s="181">
        <f t="shared" si="0"/>
        <v>0.354452313402398</v>
      </c>
      <c r="E16" s="12">
        <f t="shared" si="1"/>
        <v>0.05</v>
      </c>
      <c r="F16" s="12">
        <f t="shared" si="2"/>
        <v>0.05</v>
      </c>
      <c r="G16" s="135">
        <f t="shared" si="5"/>
        <v>0.5903702013072585</v>
      </c>
      <c r="H16" s="135">
        <v>0.5903702013072585</v>
      </c>
      <c r="I16" s="136">
        <f t="shared" si="3"/>
        <v>0.5903702013072585</v>
      </c>
    </row>
    <row r="17" spans="1:9" ht="13.5" thickBot="1">
      <c r="A17" s="123">
        <f t="shared" si="4"/>
        <v>8</v>
      </c>
      <c r="B17" s="138">
        <v>0.05</v>
      </c>
      <c r="C17" s="181">
        <f t="shared" si="6"/>
        <v>0.6612868146651012</v>
      </c>
      <c r="D17" s="181">
        <f t="shared" si="0"/>
        <v>0.33757363181180766</v>
      </c>
      <c r="E17" s="12">
        <f t="shared" si="1"/>
        <v>0.05</v>
      </c>
      <c r="F17" s="12">
        <f t="shared" si="2"/>
        <v>0.05</v>
      </c>
      <c r="G17" s="135">
        <f t="shared" si="5"/>
        <v>0.6612868146651012</v>
      </c>
      <c r="H17" s="135">
        <v>0.6612868146651012</v>
      </c>
      <c r="I17" s="136">
        <f t="shared" si="3"/>
        <v>0.6612868146651012</v>
      </c>
    </row>
    <row r="18" spans="1:9" ht="13.5" thickBot="1">
      <c r="A18" s="123">
        <f t="shared" si="4"/>
        <v>9</v>
      </c>
      <c r="B18" s="138">
        <v>0.05</v>
      </c>
      <c r="C18" s="181">
        <f t="shared" si="6"/>
        <v>0.7232800963726937</v>
      </c>
      <c r="D18" s="181">
        <f t="shared" si="0"/>
        <v>0.3214986969636263</v>
      </c>
      <c r="E18" s="12">
        <f t="shared" si="1"/>
        <v>0.05</v>
      </c>
      <c r="F18" s="12">
        <f t="shared" si="2"/>
        <v>0.05</v>
      </c>
      <c r="G18" s="135">
        <f t="shared" si="5"/>
        <v>0.7232800963726937</v>
      </c>
      <c r="H18" s="135">
        <v>0.7232800963726937</v>
      </c>
      <c r="I18" s="136">
        <f t="shared" si="3"/>
        <v>0.7232800963726937</v>
      </c>
    </row>
    <row r="19" spans="1:9" ht="13.5" thickBot="1">
      <c r="A19" s="123">
        <f t="shared" si="4"/>
        <v>10</v>
      </c>
      <c r="B19" s="123"/>
      <c r="C19" s="181">
        <f t="shared" si="6"/>
        <v>0.773353095654594</v>
      </c>
      <c r="D19" s="179">
        <f>($B$6^A18)*($B$1*$B$3*$C$19*(1-$C$19/$B$4)-($B$2/2)*($B$3*$C$19*(1-$C$19/$B$4))^2)/$B$5</f>
        <v>11.24907180316468</v>
      </c>
      <c r="G19" s="135">
        <f t="shared" si="5"/>
        <v>0.773353095654594</v>
      </c>
      <c r="H19" s="135">
        <v>0.773353095654594</v>
      </c>
      <c r="I19" s="136">
        <f t="shared" si="3"/>
        <v>0.773353095654594</v>
      </c>
    </row>
    <row r="20" spans="1:4" ht="13.5" thickBot="1">
      <c r="A20" s="48"/>
      <c r="B20" s="50"/>
      <c r="C20" s="50"/>
      <c r="D20" s="47"/>
    </row>
    <row r="21" spans="1:4" ht="13.5" thickBot="1">
      <c r="A21" s="48"/>
      <c r="B21" s="50"/>
      <c r="C21" s="177" t="s">
        <v>314</v>
      </c>
      <c r="D21" s="138">
        <f>SUM(D9:D19)</f>
        <v>15.29284786389215</v>
      </c>
    </row>
    <row r="22" spans="3:4" ht="12.75">
      <c r="C22" s="32"/>
      <c r="D22" s="173"/>
    </row>
    <row r="23" spans="1:4" ht="13.5">
      <c r="A23" s="1" t="s">
        <v>215</v>
      </c>
      <c r="C23" s="32"/>
      <c r="D23" s="173"/>
    </row>
    <row r="24" ht="13.5" thickBot="1"/>
    <row r="25" spans="4:9" ht="13.5" thickBot="1">
      <c r="D25" s="131"/>
      <c r="E25" s="2"/>
      <c r="F25" s="3" t="s">
        <v>416</v>
      </c>
      <c r="G25" s="2"/>
      <c r="H25" s="132"/>
      <c r="I25" s="1" t="s">
        <v>212</v>
      </c>
    </row>
    <row r="26" ht="12.75">
      <c r="F26" s="12" t="s">
        <v>330</v>
      </c>
    </row>
    <row r="27" ht="15.75"/>
    <row r="28" ht="15.75">
      <c r="F28" s="1" t="s">
        <v>158</v>
      </c>
    </row>
    <row r="29" ht="15.75"/>
    <row r="30" ht="15.75"/>
    <row r="31" ht="15.75"/>
    <row r="32" ht="18.75" customHeight="1">
      <c r="A32" s="1" t="s">
        <v>232</v>
      </c>
    </row>
    <row r="33" ht="21" customHeight="1">
      <c r="A33" s="1" t="s">
        <v>69</v>
      </c>
    </row>
    <row r="34" ht="16.5" customHeight="1">
      <c r="A34" s="1" t="s">
        <v>70</v>
      </c>
    </row>
    <row r="35" ht="15.75"/>
    <row r="36" ht="15.75"/>
    <row r="37" ht="15.75"/>
    <row r="38" ht="16.5" customHeight="1">
      <c r="C38" s="12" t="s">
        <v>144</v>
      </c>
    </row>
    <row r="39" ht="16.5" customHeight="1">
      <c r="C39" s="4" t="s">
        <v>138</v>
      </c>
    </row>
    <row r="40" spans="3:4" ht="16.5" customHeight="1">
      <c r="C40" s="4" t="s">
        <v>139</v>
      </c>
      <c r="D40" s="129" t="s">
        <v>141</v>
      </c>
    </row>
    <row r="41" spans="3:4" ht="16.5" customHeight="1">
      <c r="C41" s="4" t="s">
        <v>140</v>
      </c>
      <c r="D41" s="1" t="s">
        <v>143</v>
      </c>
    </row>
    <row r="42" spans="3:4" ht="16.5" customHeight="1">
      <c r="C42" s="4" t="s">
        <v>142</v>
      </c>
      <c r="D42" s="1" t="s">
        <v>145</v>
      </c>
    </row>
  </sheetData>
  <printOptions/>
  <pageMargins left="0.3" right="0.3" top="0.7" bottom="0.7" header="0.5" footer="0.5"/>
  <pageSetup orientation="portrait" paperSize="9" scale="80"/>
  <headerFooter alignWithMargins="0">
    <oddHeader>&amp;CA.ARenResourceOptControl.xls</oddHeader>
    <oddFooter>&amp;CPage &amp;P of &amp;N</oddFooter>
  </headerFooter>
  <drawing r:id="rId5"/>
  <legacyDrawing r:id="rId4"/>
  <oleObjects>
    <oleObject progId="Equation.3" shapeId="1937202" r:id="rId1"/>
    <oleObject progId="Equation.3" shapeId="1937206" r:id="rId2"/>
    <oleObject progId="Equation.3" shapeId="193720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10" sqref="K10"/>
    </sheetView>
  </sheetViews>
  <sheetFormatPr defaultColWidth="11.421875" defaultRowHeight="12"/>
  <cols>
    <col min="1" max="1" width="7.57421875" style="1" customWidth="1"/>
    <col min="2" max="2" width="11.00390625" style="1" customWidth="1"/>
    <col min="3" max="3" width="14.140625" style="1" customWidth="1"/>
    <col min="4" max="4" width="11.421875" style="1" customWidth="1"/>
    <col min="5" max="5" width="13.421875" style="1" customWidth="1"/>
    <col min="6" max="7" width="11.00390625" style="1" customWidth="1"/>
    <col min="8" max="8" width="11.57421875" style="1" customWidth="1"/>
    <col min="9" max="9" width="8.421875" style="1" customWidth="1"/>
    <col min="10" max="11" width="11.00390625" style="1" customWidth="1"/>
    <col min="12" max="12" width="9.00390625" style="1" customWidth="1"/>
    <col min="13" max="13" width="10.421875" style="1" customWidth="1"/>
    <col min="14" max="16384" width="11.00390625" style="1" customWidth="1"/>
  </cols>
  <sheetData>
    <row r="1" spans="1:11" ht="15" thickBot="1">
      <c r="A1" s="114" t="s">
        <v>15</v>
      </c>
      <c r="B1" s="206">
        <v>0.05</v>
      </c>
      <c r="C1" s="184" t="s">
        <v>256</v>
      </c>
      <c r="E1" s="131"/>
      <c r="F1" s="2"/>
      <c r="G1" s="2"/>
      <c r="H1" s="3" t="s">
        <v>270</v>
      </c>
      <c r="I1" s="2"/>
      <c r="J1" s="2"/>
      <c r="K1" s="9"/>
    </row>
    <row r="2" spans="1:8" ht="15" thickBot="1">
      <c r="A2" s="114" t="s">
        <v>80</v>
      </c>
      <c r="B2" s="206">
        <f>1/(1+$B$1)</f>
        <v>0.9523809523809523</v>
      </c>
      <c r="C2" s="184" t="s">
        <v>264</v>
      </c>
      <c r="F2" s="208" t="s">
        <v>259</v>
      </c>
      <c r="G2" s="209">
        <v>1</v>
      </c>
      <c r="H2" s="210"/>
    </row>
    <row r="3" spans="1:8" ht="19.5" thickBot="1">
      <c r="A3" s="114" t="s">
        <v>261</v>
      </c>
      <c r="B3" s="206">
        <v>1.4</v>
      </c>
      <c r="C3" s="185" t="s">
        <v>257</v>
      </c>
      <c r="D3" s="50"/>
      <c r="E3" s="47"/>
      <c r="F3" s="188" t="s">
        <v>262</v>
      </c>
      <c r="G3" s="189" t="s">
        <v>263</v>
      </c>
      <c r="H3" s="187"/>
    </row>
    <row r="4" spans="1:8" ht="19.5" thickBot="1">
      <c r="A4" s="45" t="s">
        <v>260</v>
      </c>
      <c r="B4" s="207">
        <f>$G$2/10</f>
        <v>0.1</v>
      </c>
      <c r="C4" s="185" t="s">
        <v>258</v>
      </c>
      <c r="D4" s="50"/>
      <c r="E4" s="47"/>
      <c r="F4" s="190"/>
      <c r="G4" s="191" t="s">
        <v>167</v>
      </c>
      <c r="H4" s="192">
        <f>G5-G6</f>
        <v>1</v>
      </c>
    </row>
    <row r="5" spans="1:8" ht="19.5" thickBot="1">
      <c r="A5" s="183" t="s">
        <v>18</v>
      </c>
      <c r="B5" s="183" t="s">
        <v>186</v>
      </c>
      <c r="C5" s="183" t="s">
        <v>187</v>
      </c>
      <c r="D5" s="183" t="s">
        <v>188</v>
      </c>
      <c r="F5" s="186" t="s">
        <v>268</v>
      </c>
      <c r="G5" s="193">
        <v>3</v>
      </c>
      <c r="H5" s="187"/>
    </row>
    <row r="6" spans="1:8" ht="19.5" customHeight="1" thickBot="1">
      <c r="A6" s="200">
        <v>0</v>
      </c>
      <c r="B6" s="195">
        <v>0.1</v>
      </c>
      <c r="C6" s="195">
        <v>1</v>
      </c>
      <c r="D6" s="195">
        <f aca="true" t="shared" si="0" ref="D6:D15">($B$2^A6)*(LN(1+$H$4*B6))</f>
        <v>0.09531017980432493</v>
      </c>
      <c r="F6" s="186" t="s">
        <v>269</v>
      </c>
      <c r="G6" s="193">
        <v>2</v>
      </c>
      <c r="H6" s="187"/>
    </row>
    <row r="7" spans="1:6" ht="19.5" customHeight="1">
      <c r="A7" s="201">
        <v>1</v>
      </c>
      <c r="B7" s="197">
        <v>0.1</v>
      </c>
      <c r="C7" s="197">
        <f>C6-B6</f>
        <v>0.9</v>
      </c>
      <c r="D7" s="197">
        <f t="shared" si="0"/>
        <v>0.09077159981364279</v>
      </c>
      <c r="F7" s="163" t="s">
        <v>411</v>
      </c>
    </row>
    <row r="8" spans="1:7" ht="19.5" customHeight="1" thickBot="1">
      <c r="A8" s="201">
        <v>2</v>
      </c>
      <c r="B8" s="197">
        <v>0.1</v>
      </c>
      <c r="C8" s="197">
        <f aca="true" t="shared" si="1" ref="C8:C16">C7-B7</f>
        <v>0.8</v>
      </c>
      <c r="D8" s="197">
        <f t="shared" si="0"/>
        <v>0.0864491426796598</v>
      </c>
      <c r="G8" s="163" t="s">
        <v>412</v>
      </c>
    </row>
    <row r="9" spans="1:10" ht="19.5" customHeight="1" thickBot="1">
      <c r="A9" s="201">
        <v>3</v>
      </c>
      <c r="B9" s="197">
        <v>0.1</v>
      </c>
      <c r="C9" s="197">
        <f t="shared" si="1"/>
        <v>0.7000000000000001</v>
      </c>
      <c r="D9" s="197">
        <f t="shared" si="0"/>
        <v>0.08233251683777124</v>
      </c>
      <c r="F9" s="114" t="s">
        <v>408</v>
      </c>
      <c r="G9" s="50">
        <f>1/(1+B6)</f>
        <v>0.9090909090909091</v>
      </c>
      <c r="H9" s="185" t="s">
        <v>409</v>
      </c>
      <c r="I9" s="50"/>
      <c r="J9" s="47"/>
    </row>
    <row r="10" spans="1:10" ht="19.5" customHeight="1" thickBot="1">
      <c r="A10" s="201">
        <v>4</v>
      </c>
      <c r="B10" s="197">
        <v>0.1</v>
      </c>
      <c r="C10" s="197">
        <f t="shared" si="1"/>
        <v>0.6000000000000001</v>
      </c>
      <c r="D10" s="197">
        <f t="shared" si="0"/>
        <v>0.07841192079787736</v>
      </c>
      <c r="F10" s="114" t="s">
        <v>410</v>
      </c>
      <c r="G10" s="50">
        <f>1/(1+B2)^A16</f>
        <v>0.0012426658974786736</v>
      </c>
      <c r="H10" s="50"/>
      <c r="I10" s="50"/>
      <c r="J10" s="47"/>
    </row>
    <row r="11" spans="1:4" ht="19.5" customHeight="1">
      <c r="A11" s="201">
        <v>5</v>
      </c>
      <c r="B11" s="197">
        <v>0.1</v>
      </c>
      <c r="C11" s="197">
        <f t="shared" si="1"/>
        <v>0.5000000000000001</v>
      </c>
      <c r="D11" s="197">
        <f t="shared" si="0"/>
        <v>0.07467801980750224</v>
      </c>
    </row>
    <row r="12" spans="1:8" ht="19.5" customHeight="1" thickBot="1">
      <c r="A12" s="201">
        <v>6</v>
      </c>
      <c r="B12" s="197">
        <v>0.1</v>
      </c>
      <c r="C12" s="197">
        <f t="shared" si="1"/>
        <v>0.40000000000000013</v>
      </c>
      <c r="D12" s="197">
        <f t="shared" si="0"/>
        <v>0.07112192362619262</v>
      </c>
      <c r="F12" s="4" t="s">
        <v>265</v>
      </c>
      <c r="G12" s="32"/>
      <c r="H12" s="135"/>
    </row>
    <row r="13" spans="1:8" ht="19.5" customHeight="1" thickBot="1">
      <c r="A13" s="201">
        <v>7</v>
      </c>
      <c r="B13" s="197">
        <v>0.1</v>
      </c>
      <c r="C13" s="197">
        <f t="shared" si="1"/>
        <v>0.30000000000000016</v>
      </c>
      <c r="D13" s="197">
        <f t="shared" si="0"/>
        <v>0.06773516535827867</v>
      </c>
      <c r="F13" s="180" t="s">
        <v>266</v>
      </c>
      <c r="G13" s="137" t="s">
        <v>267</v>
      </c>
      <c r="H13" s="137" t="s">
        <v>169</v>
      </c>
    </row>
    <row r="14" spans="1:8" ht="19.5" customHeight="1">
      <c r="A14" s="201">
        <v>8</v>
      </c>
      <c r="B14" s="197">
        <v>0.1</v>
      </c>
      <c r="C14" s="197">
        <f t="shared" si="1"/>
        <v>0.20000000000000015</v>
      </c>
      <c r="D14" s="197">
        <f t="shared" si="0"/>
        <v>0.06450968129359874</v>
      </c>
      <c r="F14" s="194">
        <v>0</v>
      </c>
      <c r="G14" s="195">
        <v>0.9531</v>
      </c>
      <c r="H14" s="195">
        <v>0.9531</v>
      </c>
    </row>
    <row r="15" spans="1:8" ht="19.5" customHeight="1">
      <c r="A15" s="201">
        <v>9</v>
      </c>
      <c r="B15" s="197">
        <v>0.1</v>
      </c>
      <c r="C15" s="197">
        <f t="shared" si="1"/>
        <v>0.10000000000000014</v>
      </c>
      <c r="D15" s="197">
        <f t="shared" si="0"/>
        <v>0.06143779170818928</v>
      </c>
      <c r="F15" s="196">
        <v>0.01</v>
      </c>
      <c r="G15" s="197">
        <v>0.9117</v>
      </c>
      <c r="H15" s="197">
        <v>0.9156</v>
      </c>
    </row>
    <row r="16" spans="1:8" ht="19.5" customHeight="1" thickBot="1">
      <c r="A16" s="202">
        <v>10</v>
      </c>
      <c r="B16" s="199"/>
      <c r="C16" s="199">
        <f t="shared" si="1"/>
        <v>1.3877787807814457E-16</v>
      </c>
      <c r="D16" s="199">
        <f>($B$2^A16)*$B$3*$C$16</f>
        <v>1.1927661011061112E-16</v>
      </c>
      <c r="F16" s="196">
        <v>0.02</v>
      </c>
      <c r="G16" s="197">
        <v>0.8733</v>
      </c>
      <c r="H16" s="197">
        <v>0.8881</v>
      </c>
    </row>
    <row r="17" spans="2:8" ht="13.5" thickBot="1">
      <c r="B17" s="203">
        <f>SUM(B6:B15)</f>
        <v>0.9999999999999999</v>
      </c>
      <c r="C17" s="204" t="s">
        <v>314</v>
      </c>
      <c r="D17" s="205">
        <f>SUM($D$6:$D$16)</f>
        <v>0.7727579417270378</v>
      </c>
      <c r="F17" s="196">
        <v>0.03</v>
      </c>
      <c r="G17" s="197">
        <v>0.8374</v>
      </c>
      <c r="H17" s="197">
        <v>0.8681</v>
      </c>
    </row>
    <row r="18" spans="2:8" ht="12.75">
      <c r="B18" s="203">
        <f>G2-B17</f>
        <v>0</v>
      </c>
      <c r="C18" s="163" t="s">
        <v>413</v>
      </c>
      <c r="F18" s="196">
        <v>0.04</v>
      </c>
      <c r="G18" s="197">
        <v>0.804</v>
      </c>
      <c r="H18" s="197">
        <v>0.8527</v>
      </c>
    </row>
    <row r="19" spans="6:8" ht="13.5" thickBot="1">
      <c r="F19" s="196">
        <v>0.05</v>
      </c>
      <c r="G19" s="197">
        <v>0.7728</v>
      </c>
      <c r="H19" s="197">
        <v>0.84</v>
      </c>
    </row>
    <row r="20" spans="2:8" ht="18.75" customHeight="1" thickBot="1">
      <c r="B20" s="211">
        <f>(B2^10)*B3</f>
        <v>0.8594785549570627</v>
      </c>
      <c r="C20" s="212" t="s">
        <v>414</v>
      </c>
      <c r="D20" s="47"/>
      <c r="F20" s="196">
        <v>0.06</v>
      </c>
      <c r="G20" s="197">
        <v>0.7436</v>
      </c>
      <c r="H20" s="197">
        <v>0.8292</v>
      </c>
    </row>
    <row r="21" spans="2:8" ht="18.75" customHeight="1" thickBot="1">
      <c r="B21" s="211">
        <f>B20*(1+B1)^10</f>
        <v>1.3999999999999995</v>
      </c>
      <c r="C21" s="213" t="s">
        <v>415</v>
      </c>
      <c r="D21" s="47"/>
      <c r="F21" s="196">
        <v>0.07</v>
      </c>
      <c r="G21" s="197">
        <v>0.7163</v>
      </c>
      <c r="H21" s="197">
        <v>0.8199</v>
      </c>
    </row>
    <row r="22" spans="6:8" ht="12.75">
      <c r="F22" s="196">
        <v>0.08</v>
      </c>
      <c r="G22" s="197">
        <v>0.6907</v>
      </c>
      <c r="H22" s="197">
        <v>0.8116</v>
      </c>
    </row>
    <row r="23" spans="6:8" ht="12.75">
      <c r="F23" s="196">
        <v>0.09</v>
      </c>
      <c r="G23" s="197">
        <v>0.6667</v>
      </c>
      <c r="H23" s="197">
        <v>0.8043</v>
      </c>
    </row>
    <row r="24" spans="6:8" ht="13.5" thickBot="1">
      <c r="F24" s="198">
        <v>0.1</v>
      </c>
      <c r="G24" s="199">
        <v>0.6442</v>
      </c>
      <c r="H24" s="199">
        <v>0.7978</v>
      </c>
    </row>
  </sheetData>
  <printOptions/>
  <pageMargins left="0.3" right="0.3" top="0.7" bottom="0.7" header="0.5" footer="0.5"/>
  <pageSetup orientation="portrait" paperSize="9" scale="80"/>
  <headerFooter alignWithMargins="0">
    <oddHeader>&amp;CA.ARenResourceOptControl.xls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selection activeCell="I2" sqref="I2"/>
    </sheetView>
  </sheetViews>
  <sheetFormatPr defaultColWidth="11.421875" defaultRowHeight="12"/>
  <cols>
    <col min="1" max="1" width="11.00390625" style="163" customWidth="1"/>
    <col min="2" max="2" width="14.140625" style="163" customWidth="1"/>
    <col min="3" max="3" width="33.421875" style="163" customWidth="1"/>
    <col min="4" max="4" width="7.421875" style="163" customWidth="1"/>
    <col min="5" max="5" width="8.00390625" style="220" customWidth="1"/>
    <col min="6" max="6" width="14.00390625" style="163" customWidth="1"/>
    <col min="7" max="7" width="10.421875" style="163" customWidth="1"/>
    <col min="8" max="9" width="8.00390625" style="163" customWidth="1"/>
    <col min="10" max="11" width="9.140625" style="163" customWidth="1"/>
    <col min="12" max="12" width="2.8515625" style="163" customWidth="1"/>
    <col min="13" max="13" width="3.421875" style="163" customWidth="1"/>
    <col min="14" max="16384" width="11.00390625" style="163" customWidth="1"/>
  </cols>
  <sheetData>
    <row r="1" spans="1:11" ht="16.5" customHeight="1" thickBot="1">
      <c r="A1" s="218" t="s">
        <v>41</v>
      </c>
      <c r="B1" s="239">
        <v>1.5</v>
      </c>
      <c r="C1" s="163" t="s">
        <v>334</v>
      </c>
      <c r="D1" s="217" t="s">
        <v>18</v>
      </c>
      <c r="E1" s="240" t="s">
        <v>446</v>
      </c>
      <c r="F1" s="241" t="s">
        <v>447</v>
      </c>
      <c r="G1" s="241" t="s">
        <v>448</v>
      </c>
      <c r="H1" s="241" t="s">
        <v>449</v>
      </c>
      <c r="I1" s="241" t="s">
        <v>46</v>
      </c>
      <c r="J1" s="241" t="s">
        <v>450</v>
      </c>
      <c r="K1" s="179" t="s">
        <v>351</v>
      </c>
    </row>
    <row r="2" spans="1:11" ht="12.75" thickBot="1">
      <c r="A2" s="218" t="s">
        <v>81</v>
      </c>
      <c r="B2" s="227">
        <v>1000000</v>
      </c>
      <c r="C2" s="163" t="s">
        <v>333</v>
      </c>
      <c r="D2" s="163">
        <v>0</v>
      </c>
      <c r="E2" s="223"/>
      <c r="F2" s="232">
        <f>$B$12</f>
        <v>1000000</v>
      </c>
      <c r="G2" s="232">
        <f>$B$6*$B$12/(($B$6*$B$7*$B$9/$B$5)*$B$12+1)</f>
        <v>7142.857142857143</v>
      </c>
      <c r="H2" s="232">
        <f>$B$9*G2</f>
        <v>142.85714285714286</v>
      </c>
      <c r="I2" s="228">
        <f aca="true" t="shared" si="0" ref="I2:I43">(1/$B$28)*(1-(PRODUCT(F2:H2)^(1/$B$28))/(AVERAGE(F2:H2)))</f>
        <v>0.32333858261419435</v>
      </c>
      <c r="J2" s="232">
        <f aca="true" t="shared" si="1" ref="J2:J43">100*(F2/$F$2)*(G2/$G$2)*(H2/$H$2)</f>
        <v>100</v>
      </c>
      <c r="K2" s="228"/>
    </row>
    <row r="3" spans="1:11" ht="12.75" thickBot="1">
      <c r="A3" s="219" t="s">
        <v>438</v>
      </c>
      <c r="B3" s="239">
        <v>100</v>
      </c>
      <c r="C3" s="163" t="s">
        <v>349</v>
      </c>
      <c r="D3" s="163">
        <v>1</v>
      </c>
      <c r="E3" s="224">
        <v>1.5</v>
      </c>
      <c r="F3" s="233">
        <f aca="true" t="shared" si="2" ref="F3:F43">F2+E3*F2*(1-F2/$B$2)-$B$3*$B$10-$B$4*G2</f>
        <v>857142.8571428572</v>
      </c>
      <c r="G3" s="233">
        <f aca="true" t="shared" si="3" ref="G3:G43">G2+$B$5*G2*(1-G2/($B$6*F2))-$B$7*G2*H2</f>
        <v>7142.857142857143</v>
      </c>
      <c r="H3" s="233">
        <f aca="true" t="shared" si="4" ref="H3:H43">H2+$B$8*H2*(1-H2/($B$9*G2))</f>
        <v>142.85714285714286</v>
      </c>
      <c r="I3" s="229">
        <f t="shared" si="0"/>
        <v>0.3222701545185561</v>
      </c>
      <c r="J3" s="237">
        <f t="shared" si="1"/>
        <v>85.71428571428572</v>
      </c>
      <c r="K3" s="229">
        <v>1.24182458</v>
      </c>
    </row>
    <row r="4" spans="1:51" ht="12.75" thickBot="1">
      <c r="A4" s="219" t="s">
        <v>439</v>
      </c>
      <c r="B4" s="239">
        <v>20</v>
      </c>
      <c r="C4" s="163" t="s">
        <v>335</v>
      </c>
      <c r="D4" s="163">
        <v>2</v>
      </c>
      <c r="E4" s="224">
        <v>1.5</v>
      </c>
      <c r="F4" s="233">
        <f t="shared" si="2"/>
        <v>897959.1836734693</v>
      </c>
      <c r="G4" s="233">
        <f t="shared" si="3"/>
        <v>6717.6870748299325</v>
      </c>
      <c r="H4" s="233">
        <f t="shared" si="4"/>
        <v>142.85714285714286</v>
      </c>
      <c r="I4" s="229">
        <f t="shared" si="0"/>
        <v>0.3228161999713489</v>
      </c>
      <c r="J4" s="237">
        <f t="shared" si="1"/>
        <v>84.45092322643343</v>
      </c>
      <c r="K4" s="229">
        <v>1.31794872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2.75" thickBot="1">
      <c r="A5" s="218" t="s">
        <v>42</v>
      </c>
      <c r="B5" s="239">
        <v>0.5</v>
      </c>
      <c r="C5" s="163" t="s">
        <v>336</v>
      </c>
      <c r="D5" s="163">
        <v>3</v>
      </c>
      <c r="E5" s="224">
        <v>1.5</v>
      </c>
      <c r="F5" s="233">
        <f t="shared" si="2"/>
        <v>901048.1743717894</v>
      </c>
      <c r="G5" s="233">
        <f t="shared" si="3"/>
        <v>6604.0898231587</v>
      </c>
      <c r="H5" s="233">
        <f t="shared" si="4"/>
        <v>141.0488245931284</v>
      </c>
      <c r="I5" s="229">
        <f t="shared" si="0"/>
        <v>0.322942353418862</v>
      </c>
      <c r="J5" s="237">
        <f t="shared" si="1"/>
        <v>82.25390584519683</v>
      </c>
      <c r="K5" s="229">
        <v>1.0700216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2.75" thickBot="1">
      <c r="A6" s="219" t="s">
        <v>452</v>
      </c>
      <c r="B6" s="161">
        <v>0.01</v>
      </c>
      <c r="C6" s="163" t="s">
        <v>346</v>
      </c>
      <c r="D6" s="163">
        <v>4</v>
      </c>
      <c r="E6" s="224">
        <v>1.5</v>
      </c>
      <c r="F6" s="233">
        <f t="shared" si="2"/>
        <v>902706.9206581977</v>
      </c>
      <c r="G6" s="233">
        <f t="shared" si="3"/>
        <v>6554.4541305662215</v>
      </c>
      <c r="H6" s="233">
        <f t="shared" si="4"/>
        <v>139.1336647275125</v>
      </c>
      <c r="I6" s="229">
        <f t="shared" si="0"/>
        <v>0.3230274952326808</v>
      </c>
      <c r="J6" s="237">
        <f t="shared" si="1"/>
        <v>80.67548792013963</v>
      </c>
      <c r="K6" s="229">
        <v>0.46023382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2.75" thickBot="1">
      <c r="A7" s="219" t="s">
        <v>451</v>
      </c>
      <c r="B7" s="161">
        <v>0.001</v>
      </c>
      <c r="C7" s="163" t="s">
        <v>343</v>
      </c>
      <c r="D7" s="163">
        <v>5</v>
      </c>
      <c r="E7" s="224">
        <v>1.5</v>
      </c>
      <c r="F7" s="233">
        <f t="shared" si="2"/>
        <v>903358.5421278614</v>
      </c>
      <c r="G7" s="233">
        <f t="shared" si="3"/>
        <v>6540.178002532069</v>
      </c>
      <c r="H7" s="233">
        <f t="shared" si="4"/>
        <v>137.4260134590308</v>
      </c>
      <c r="I7" s="229">
        <f t="shared" si="0"/>
        <v>0.32308198679078726</v>
      </c>
      <c r="J7" s="237">
        <f t="shared" si="1"/>
        <v>79.56915540968657</v>
      </c>
      <c r="K7" s="229">
        <v>0.66359229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2.75" thickBot="1">
      <c r="A8" s="218" t="s">
        <v>441</v>
      </c>
      <c r="B8" s="239">
        <v>0.2</v>
      </c>
      <c r="C8" s="163" t="s">
        <v>342</v>
      </c>
      <c r="D8" s="163">
        <v>6</v>
      </c>
      <c r="E8" s="224">
        <v>1.5</v>
      </c>
      <c r="F8" s="233">
        <f t="shared" si="2"/>
        <v>903507.8118159494</v>
      </c>
      <c r="G8" s="233">
        <f t="shared" si="3"/>
        <v>6543.981874604864</v>
      </c>
      <c r="H8" s="233">
        <f t="shared" si="4"/>
        <v>136.03446513896859</v>
      </c>
      <c r="I8" s="229">
        <f t="shared" si="0"/>
        <v>0.32311586514472734</v>
      </c>
      <c r="J8" s="237">
        <f t="shared" si="1"/>
        <v>78.82228647520613</v>
      </c>
      <c r="K8" s="229">
        <v>1.27708512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2.75" thickBot="1">
      <c r="A9" s="219" t="s">
        <v>453</v>
      </c>
      <c r="B9" s="161">
        <v>0.02</v>
      </c>
      <c r="C9" s="225" t="s">
        <v>341</v>
      </c>
      <c r="D9" s="163">
        <v>7</v>
      </c>
      <c r="E9" s="224">
        <v>1.5</v>
      </c>
      <c r="F9" s="233">
        <f t="shared" si="2"/>
        <v>903400.3430291086</v>
      </c>
      <c r="G9" s="233">
        <f t="shared" si="3"/>
        <v>6555.908044450438</v>
      </c>
      <c r="H9" s="233">
        <f t="shared" si="4"/>
        <v>134.96289398357317</v>
      </c>
      <c r="I9" s="229">
        <f t="shared" si="0"/>
        <v>0.3231358992385175</v>
      </c>
      <c r="J9" s="237">
        <f t="shared" si="1"/>
        <v>78.33458777751504</v>
      </c>
      <c r="K9" s="229">
        <v>1.46455131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2.75" thickBot="1">
      <c r="A10" s="218" t="s">
        <v>440</v>
      </c>
      <c r="B10" s="239">
        <v>0</v>
      </c>
      <c r="C10" s="163" t="s">
        <v>345</v>
      </c>
      <c r="D10" s="163">
        <v>8</v>
      </c>
      <c r="E10" s="224">
        <v>1.5</v>
      </c>
      <c r="F10" s="233">
        <f t="shared" si="2"/>
        <v>903184.4270060961</v>
      </c>
      <c r="G10" s="233">
        <f t="shared" si="3"/>
        <v>6570.271272786075</v>
      </c>
      <c r="H10" s="233">
        <f t="shared" si="4"/>
        <v>134.17139980531653</v>
      </c>
      <c r="I10" s="229">
        <f t="shared" si="0"/>
        <v>0.32314699230828914</v>
      </c>
      <c r="J10" s="237">
        <f t="shared" si="1"/>
        <v>78.02715430751631</v>
      </c>
      <c r="K10" s="229">
        <v>1.92350962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3:51" ht="12.75" thickBot="1">
      <c r="C11" s="217"/>
      <c r="D11" s="163">
        <v>9</v>
      </c>
      <c r="E11" s="224">
        <v>1.5</v>
      </c>
      <c r="F11" s="233">
        <f t="shared" si="2"/>
        <v>902942.4782800234</v>
      </c>
      <c r="G11" s="233">
        <f t="shared" si="3"/>
        <v>6584.072070278631</v>
      </c>
      <c r="H11" s="233">
        <f t="shared" si="4"/>
        <v>133.60656064586217</v>
      </c>
      <c r="I11" s="229">
        <f t="shared" si="0"/>
        <v>0.32315253952038075</v>
      </c>
      <c r="J11" s="237">
        <f t="shared" si="1"/>
        <v>77.84102046169038</v>
      </c>
      <c r="K11" s="229">
        <v>2.09159674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2.75" thickBot="1">
      <c r="A12" s="218" t="s">
        <v>442</v>
      </c>
      <c r="B12" s="227">
        <v>1000000</v>
      </c>
      <c r="C12" s="163" t="s">
        <v>347</v>
      </c>
      <c r="D12" s="163">
        <v>10</v>
      </c>
      <c r="E12" s="224">
        <v>1.5</v>
      </c>
      <c r="F12" s="233">
        <f t="shared" si="2"/>
        <v>902717.0756707801</v>
      </c>
      <c r="G12" s="233">
        <f t="shared" si="3"/>
        <v>6595.947464251676</v>
      </c>
      <c r="H12" s="233">
        <f t="shared" si="4"/>
        <v>133.2159079346178</v>
      </c>
      <c r="I12" s="229">
        <f t="shared" si="0"/>
        <v>0.3231548138202829</v>
      </c>
      <c r="J12" s="237">
        <f t="shared" si="1"/>
        <v>77.73399896924768</v>
      </c>
      <c r="K12" s="229">
        <v>1.55703839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2.75" thickBot="1">
      <c r="A13" s="218" t="s">
        <v>443</v>
      </c>
      <c r="B13" s="227">
        <f>$B$3*$B$10*(($B$6*$B$7*$B$9/$B$5)*$B$12+1)+$B$4*$B$6*$B$12-$B$1*$B$12*(1-$B$12/$B$2)*(($B$6*$B$7*$B$9/$B$5)*$B$12+1)</f>
        <v>200000</v>
      </c>
      <c r="C13" s="163" t="s">
        <v>348</v>
      </c>
      <c r="D13" s="163">
        <v>11</v>
      </c>
      <c r="E13" s="224">
        <v>1.5</v>
      </c>
      <c r="F13" s="233">
        <f t="shared" si="2"/>
        <v>902526.5618305093</v>
      </c>
      <c r="G13" s="233">
        <f t="shared" si="3"/>
        <v>6605.481995792593</v>
      </c>
      <c r="H13" s="233">
        <f t="shared" si="4"/>
        <v>132.95396599982462</v>
      </c>
      <c r="I13" s="229">
        <f t="shared" si="0"/>
        <v>0.32315527831403346</v>
      </c>
      <c r="J13" s="237">
        <f t="shared" si="1"/>
        <v>77.67689873360389</v>
      </c>
      <c r="K13" s="229">
        <v>1.8780417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2.75" thickBot="1">
      <c r="A14" s="218" t="s">
        <v>444</v>
      </c>
      <c r="B14" s="227">
        <f>$B$6*$B$12/(($B$6*$B$7*$B$9/$B$5)*$B$12+1)</f>
        <v>7142.857142857143</v>
      </c>
      <c r="C14" s="163" t="s">
        <v>381</v>
      </c>
      <c r="D14" s="163">
        <v>12</v>
      </c>
      <c r="E14" s="224">
        <v>1.5</v>
      </c>
      <c r="F14" s="233">
        <f t="shared" si="2"/>
        <v>902375.4724460212</v>
      </c>
      <c r="G14" s="233">
        <f t="shared" si="3"/>
        <v>6612.762049632403</v>
      </c>
      <c r="H14" s="233">
        <f t="shared" si="4"/>
        <v>132.784021548333</v>
      </c>
      <c r="I14" s="229">
        <f t="shared" si="0"/>
        <v>0.3231548367961176</v>
      </c>
      <c r="J14" s="237">
        <f t="shared" si="1"/>
        <v>77.65010926135923</v>
      </c>
      <c r="K14" s="229">
        <v>1.91440785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2.75" thickBot="1">
      <c r="A15" s="218" t="s">
        <v>445</v>
      </c>
      <c r="B15" s="239">
        <v>132.571125</v>
      </c>
      <c r="C15" s="163" t="s">
        <v>382</v>
      </c>
      <c r="D15" s="163">
        <v>13</v>
      </c>
      <c r="E15" s="224">
        <v>1.5</v>
      </c>
      <c r="F15" s="233">
        <f t="shared" si="2"/>
        <v>902261.200214135</v>
      </c>
      <c r="G15" s="233">
        <f t="shared" si="3"/>
        <v>6618.101278769199</v>
      </c>
      <c r="H15" s="233">
        <f t="shared" si="4"/>
        <v>132.6778426049907</v>
      </c>
      <c r="I15" s="229">
        <f t="shared" si="0"/>
        <v>0.32315402137498633</v>
      </c>
      <c r="J15" s="237">
        <f t="shared" si="1"/>
        <v>77.64082968274651</v>
      </c>
      <c r="K15" s="229">
        <v>2.17811925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2">
      <c r="A16" s="225" t="s">
        <v>344</v>
      </c>
      <c r="D16" s="163">
        <v>14</v>
      </c>
      <c r="E16" s="224">
        <v>1.5</v>
      </c>
      <c r="F16" s="233">
        <f t="shared" si="2"/>
        <v>902178.0648421764</v>
      </c>
      <c r="G16" s="233">
        <f t="shared" si="3"/>
        <v>6621.88223548961</v>
      </c>
      <c r="H16" s="233">
        <f t="shared" si="4"/>
        <v>132.61452849059273</v>
      </c>
      <c r="I16" s="229">
        <f t="shared" si="0"/>
        <v>0.32315312625586584</v>
      </c>
      <c r="J16" s="237">
        <f t="shared" si="1"/>
        <v>77.64096020318108</v>
      </c>
      <c r="K16" s="229">
        <v>0.13217454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4:51" ht="12.75">
      <c r="D17" s="163">
        <v>15</v>
      </c>
      <c r="E17" s="224">
        <v>1.5</v>
      </c>
      <c r="F17" s="233">
        <f t="shared" si="2"/>
        <v>902119.6263720873</v>
      </c>
      <c r="G17" s="233">
        <f t="shared" si="3"/>
        <v>6624.473228907676</v>
      </c>
      <c r="H17" s="233">
        <f t="shared" si="4"/>
        <v>132.5791044852204</v>
      </c>
      <c r="I17" s="229">
        <f t="shared" si="0"/>
        <v>0.3231522991836888</v>
      </c>
      <c r="J17" s="237">
        <f t="shared" si="1"/>
        <v>77.64556197994646</v>
      </c>
      <c r="K17" s="229">
        <v>1.59796736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4:51" ht="12.75">
      <c r="D18" s="163">
        <v>16</v>
      </c>
      <c r="E18" s="224">
        <v>1.5</v>
      </c>
      <c r="F18" s="233">
        <f t="shared" si="2"/>
        <v>902079.870923493</v>
      </c>
      <c r="G18" s="233">
        <f t="shared" si="3"/>
        <v>6626.191101082738</v>
      </c>
      <c r="H18" s="233">
        <f t="shared" si="4"/>
        <v>132.5611643740683</v>
      </c>
      <c r="I18" s="229">
        <f t="shared" si="0"/>
        <v>0.32315160172991675</v>
      </c>
      <c r="J18" s="237">
        <f t="shared" si="1"/>
        <v>77.65176557417963</v>
      </c>
      <c r="K18" s="229">
        <v>0.5675542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2">
      <c r="A19" s="163" t="s">
        <v>337</v>
      </c>
      <c r="D19" s="163">
        <v>17</v>
      </c>
      <c r="E19" s="224">
        <v>1.5</v>
      </c>
      <c r="F19" s="233">
        <f t="shared" si="2"/>
        <v>902053.714999059</v>
      </c>
      <c r="G19" s="233">
        <f t="shared" si="3"/>
        <v>6627.290146055962</v>
      </c>
      <c r="H19" s="233">
        <f t="shared" si="4"/>
        <v>132.55369379913182</v>
      </c>
      <c r="I19" s="229">
        <f t="shared" si="0"/>
        <v>0.3231510477144739</v>
      </c>
      <c r="J19" s="237">
        <f t="shared" si="1"/>
        <v>77.65801657421919</v>
      </c>
      <c r="K19" s="229">
        <v>0.49269824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4:51" ht="12.75">
      <c r="D20" s="163">
        <v>18</v>
      </c>
      <c r="E20" s="224">
        <v>1.5</v>
      </c>
      <c r="F20" s="233">
        <f t="shared" si="2"/>
        <v>902037.1274611229</v>
      </c>
      <c r="G20" s="233">
        <f t="shared" si="3"/>
        <v>6627.964577909989</v>
      </c>
      <c r="H20" s="233">
        <f t="shared" si="4"/>
        <v>132.55211552957545</v>
      </c>
      <c r="I20" s="229">
        <f t="shared" si="0"/>
        <v>0.323150626837617</v>
      </c>
      <c r="J20" s="237">
        <f t="shared" si="1"/>
        <v>77.66356661497639</v>
      </c>
      <c r="K20" s="229">
        <v>1.69804588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4:51" ht="12.75">
      <c r="D21" s="163">
        <v>19</v>
      </c>
      <c r="E21" s="224">
        <v>1.5</v>
      </c>
      <c r="F21" s="233">
        <f t="shared" si="2"/>
        <v>902027.0581171362</v>
      </c>
      <c r="G21" s="233">
        <f t="shared" si="3"/>
        <v>6628.356987991059</v>
      </c>
      <c r="H21" s="233">
        <f t="shared" si="4"/>
        <v>132.5535506576062</v>
      </c>
      <c r="I21" s="229">
        <f t="shared" si="0"/>
        <v>0.32315031861272364</v>
      </c>
      <c r="J21" s="237">
        <f t="shared" si="1"/>
        <v>77.66813859766472</v>
      </c>
      <c r="K21" s="229">
        <v>1.61581335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2">
      <c r="A22" s="163" t="s">
        <v>338</v>
      </c>
      <c r="D22" s="163">
        <v>20</v>
      </c>
      <c r="E22" s="224">
        <v>1.5</v>
      </c>
      <c r="F22" s="233">
        <f t="shared" si="2"/>
        <v>902021.2851698361</v>
      </c>
      <c r="G22" s="233">
        <f t="shared" si="3"/>
        <v>6628.568547603239</v>
      </c>
      <c r="H22" s="233">
        <f t="shared" si="4"/>
        <v>132.5562681994527</v>
      </c>
      <c r="I22" s="229">
        <f t="shared" si="0"/>
        <v>0.3231501001239946</v>
      </c>
      <c r="J22" s="237">
        <f t="shared" si="1"/>
        <v>77.67171282054294</v>
      </c>
      <c r="K22" s="229">
        <v>2.2254198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4:51" ht="12.75">
      <c r="D23" s="163">
        <v>21</v>
      </c>
      <c r="E23" s="224">
        <v>1.5</v>
      </c>
      <c r="F23" s="233">
        <f t="shared" si="2"/>
        <v>902018.2436233613</v>
      </c>
      <c r="G23" s="233">
        <f t="shared" si="3"/>
        <v>6628.668780703775</v>
      </c>
      <c r="H23" s="233">
        <f t="shared" si="4"/>
        <v>132.55928840586893</v>
      </c>
      <c r="I23" s="229">
        <f t="shared" si="0"/>
        <v>0.3231499499776095</v>
      </c>
      <c r="J23" s="237">
        <f t="shared" si="1"/>
        <v>77.67439513609503</v>
      </c>
      <c r="K23" s="229">
        <v>0.29404641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4:51" ht="12.75">
      <c r="D24" s="163">
        <v>22</v>
      </c>
      <c r="E24" s="224">
        <v>1.5</v>
      </c>
      <c r="F24" s="233">
        <f t="shared" si="2"/>
        <v>902016.8657002673</v>
      </c>
      <c r="G24" s="233">
        <f t="shared" si="3"/>
        <v>6628.703953624534</v>
      </c>
      <c r="H24" s="233">
        <f t="shared" si="4"/>
        <v>132.56210554812972</v>
      </c>
      <c r="I24" s="229">
        <f t="shared" si="0"/>
        <v>0.32314984999808727</v>
      </c>
      <c r="J24" s="237">
        <f t="shared" si="1"/>
        <v>77.67633937245832</v>
      </c>
      <c r="K24" s="229">
        <v>2.06130375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2.75" thickBot="1">
      <c r="A25" s="163" t="s">
        <v>339</v>
      </c>
      <c r="D25" s="163">
        <v>23</v>
      </c>
      <c r="E25" s="224">
        <v>1.5</v>
      </c>
      <c r="F25" s="233">
        <f t="shared" si="2"/>
        <v>902016.4461665765</v>
      </c>
      <c r="G25" s="233">
        <f t="shared" si="3"/>
        <v>6628.703808205502</v>
      </c>
      <c r="H25" s="233">
        <f t="shared" si="4"/>
        <v>132.5645000367224</v>
      </c>
      <c r="I25" s="229">
        <f t="shared" si="0"/>
        <v>0.3231497856604976</v>
      </c>
      <c r="J25" s="237">
        <f t="shared" si="1"/>
        <v>77.67770461899333</v>
      </c>
      <c r="K25" s="229">
        <v>1.45330654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2.75" thickBot="1">
      <c r="A26" s="256" t="s">
        <v>352</v>
      </c>
      <c r="B26" s="255" t="s">
        <v>353</v>
      </c>
      <c r="C26" s="184"/>
      <c r="D26" s="163">
        <v>24</v>
      </c>
      <c r="E26" s="224">
        <v>1.5</v>
      </c>
      <c r="F26" s="233">
        <f t="shared" si="2"/>
        <v>902016.5355198605</v>
      </c>
      <c r="G26" s="233">
        <f t="shared" si="3"/>
        <v>6628.686711032716</v>
      </c>
      <c r="H26" s="233">
        <f t="shared" si="4"/>
        <v>132.56641512385883</v>
      </c>
      <c r="I26" s="229">
        <f t="shared" si="0"/>
        <v>0.3231497458722993</v>
      </c>
      <c r="J26" s="237">
        <f t="shared" si="1"/>
        <v>77.67863412714185</v>
      </c>
      <c r="K26" s="229">
        <v>1.23396939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2">
      <c r="A27" s="118" t="s">
        <v>340</v>
      </c>
      <c r="B27" s="218"/>
      <c r="D27" s="163">
        <v>25</v>
      </c>
      <c r="E27" s="224">
        <v>1.5</v>
      </c>
      <c r="F27" s="233">
        <f t="shared" si="2"/>
        <v>902016.8590521192</v>
      </c>
      <c r="G27" s="233">
        <f t="shared" si="3"/>
        <v>6628.663442799296</v>
      </c>
      <c r="H27" s="233">
        <f t="shared" si="4"/>
        <v>132.56787886240377</v>
      </c>
      <c r="I27" s="229">
        <f t="shared" si="0"/>
        <v>0.32314972247079243</v>
      </c>
      <c r="J27" s="237">
        <f t="shared" si="1"/>
        <v>77.67924700819532</v>
      </c>
      <c r="K27" s="229">
        <v>1.89349516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2">
      <c r="A28" s="218" t="s">
        <v>45</v>
      </c>
      <c r="B28" s="225">
        <v>3</v>
      </c>
      <c r="D28" s="163">
        <v>26</v>
      </c>
      <c r="E28" s="224">
        <v>1.5</v>
      </c>
      <c r="F28" s="233">
        <f t="shared" si="2"/>
        <v>902017.2577529361</v>
      </c>
      <c r="G28" s="233">
        <f t="shared" si="3"/>
        <v>6628.639895194936</v>
      </c>
      <c r="H28" s="233">
        <f t="shared" si="4"/>
        <v>132.56895681729233</v>
      </c>
      <c r="I28" s="229">
        <f t="shared" si="0"/>
        <v>0.323149709643057</v>
      </c>
      <c r="J28" s="237">
        <f t="shared" si="1"/>
        <v>77.67963703068271</v>
      </c>
      <c r="K28" s="229">
        <v>1.84982463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2">
      <c r="A29" s="118" t="s">
        <v>295</v>
      </c>
      <c r="D29" s="163">
        <v>27</v>
      </c>
      <c r="E29" s="224">
        <v>1.5</v>
      </c>
      <c r="F29" s="233">
        <f t="shared" si="2"/>
        <v>902017.6465522514</v>
      </c>
      <c r="G29" s="233">
        <f t="shared" si="3"/>
        <v>6628.6189310542195</v>
      </c>
      <c r="H29" s="233">
        <f t="shared" si="4"/>
        <v>132.56972501235575</v>
      </c>
      <c r="I29" s="229">
        <f t="shared" si="0"/>
        <v>0.3231497033759714</v>
      </c>
      <c r="J29" s="237">
        <f t="shared" si="1"/>
        <v>77.67987496634935</v>
      </c>
      <c r="K29" s="229">
        <v>1.38119839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2">
      <c r="A30" s="218" t="s">
        <v>442</v>
      </c>
      <c r="B30" s="163" t="s">
        <v>350</v>
      </c>
      <c r="D30" s="163">
        <v>28</v>
      </c>
      <c r="E30" s="224">
        <v>1.5</v>
      </c>
      <c r="F30" s="233">
        <f t="shared" si="2"/>
        <v>902017.9857220505</v>
      </c>
      <c r="G30" s="233">
        <f t="shared" si="3"/>
        <v>6628.601627637953</v>
      </c>
      <c r="H30" s="233">
        <f t="shared" si="4"/>
        <v>132.5702557234784</v>
      </c>
      <c r="I30" s="229">
        <f t="shared" si="0"/>
        <v>0.32314970098426005</v>
      </c>
      <c r="J30" s="237">
        <f t="shared" si="1"/>
        <v>77.68001237057646</v>
      </c>
      <c r="K30" s="229">
        <v>1.51122714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2">
      <c r="A31" s="218" t="s">
        <v>444</v>
      </c>
      <c r="B31" s="163" t="s">
        <v>327</v>
      </c>
      <c r="D31" s="163">
        <v>29</v>
      </c>
      <c r="E31" s="224">
        <v>1.5</v>
      </c>
      <c r="F31" s="233">
        <f t="shared" si="2"/>
        <v>902018.2619032693</v>
      </c>
      <c r="G31" s="233">
        <f t="shared" si="3"/>
        <v>6628.588080022123</v>
      </c>
      <c r="H31" s="233">
        <f t="shared" si="4"/>
        <v>132.57061108457165</v>
      </c>
      <c r="I31" s="229">
        <f t="shared" si="0"/>
        <v>0.3231497007305119</v>
      </c>
      <c r="J31" s="237">
        <f t="shared" si="1"/>
        <v>77.68008561609913</v>
      </c>
      <c r="K31" s="229">
        <v>0.97382776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2.75" thickBot="1">
      <c r="A32" s="218" t="s">
        <v>445</v>
      </c>
      <c r="B32" s="163" t="s">
        <v>121</v>
      </c>
      <c r="D32" s="163">
        <v>30</v>
      </c>
      <c r="E32" s="224">
        <v>1.5</v>
      </c>
      <c r="F32" s="233">
        <f t="shared" si="2"/>
        <v>902018.4759472385</v>
      </c>
      <c r="G32" s="233">
        <f t="shared" si="3"/>
        <v>6628.577900426023</v>
      </c>
      <c r="H32" s="233">
        <f t="shared" si="4"/>
        <v>132.5708411857489</v>
      </c>
      <c r="I32" s="229">
        <f t="shared" si="0"/>
        <v>0.3231497015332338</v>
      </c>
      <c r="J32" s="237">
        <f t="shared" si="1"/>
        <v>77.68011958315314</v>
      </c>
      <c r="K32" s="229">
        <v>1.67772606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2.75" thickBot="1">
      <c r="A33" s="218" t="s">
        <v>122</v>
      </c>
      <c r="B33" s="226">
        <v>902018.9667997286</v>
      </c>
      <c r="D33" s="163">
        <v>31</v>
      </c>
      <c r="E33" s="224">
        <v>1.5</v>
      </c>
      <c r="F33" s="233">
        <f t="shared" si="2"/>
        <v>902018.6354343074</v>
      </c>
      <c r="G33" s="233">
        <f t="shared" si="3"/>
        <v>6628.570513834924</v>
      </c>
      <c r="H33" s="233">
        <f t="shared" si="4"/>
        <v>132.57098454952802</v>
      </c>
      <c r="I33" s="229">
        <f t="shared" si="0"/>
        <v>0.3231497027508884</v>
      </c>
      <c r="J33" s="237">
        <f t="shared" si="1"/>
        <v>77.68013075878844</v>
      </c>
      <c r="K33" s="229">
        <v>1.6741455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4:51" ht="12">
      <c r="D34" s="163">
        <v>32</v>
      </c>
      <c r="E34" s="224">
        <v>1.5</v>
      </c>
      <c r="F34" s="233">
        <f t="shared" si="2"/>
        <v>902018.7503029152</v>
      </c>
      <c r="G34" s="233">
        <f t="shared" si="3"/>
        <v>6628.565321639315</v>
      </c>
      <c r="H34" s="233">
        <f t="shared" si="4"/>
        <v>132.57106969468867</v>
      </c>
      <c r="I34" s="229">
        <f t="shared" si="0"/>
        <v>0.3231497040273591</v>
      </c>
      <c r="J34" s="237">
        <f t="shared" si="1"/>
        <v>77.68012969465322</v>
      </c>
      <c r="K34" s="229">
        <v>1.5527092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4:51" ht="12">
      <c r="D35" s="163">
        <v>33</v>
      </c>
      <c r="E35" s="224">
        <v>1.5</v>
      </c>
      <c r="F35" s="233">
        <f t="shared" si="2"/>
        <v>902018.8304774524</v>
      </c>
      <c r="G35" s="233">
        <f t="shared" si="3"/>
        <v>6628.561782978821</v>
      </c>
      <c r="H35" s="233">
        <f t="shared" si="4"/>
        <v>132.57111704222365</v>
      </c>
      <c r="I35" s="229">
        <f t="shared" si="0"/>
        <v>0.3231497051847618</v>
      </c>
      <c r="J35" s="237">
        <f t="shared" si="1"/>
        <v>77.68012287289515</v>
      </c>
      <c r="K35" s="229">
        <v>1.01917175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4:51" ht="12">
      <c r="D36" s="163">
        <v>34</v>
      </c>
      <c r="E36" s="224">
        <v>1.5</v>
      </c>
      <c r="F36" s="233">
        <f t="shared" si="2"/>
        <v>902018.8847301882</v>
      </c>
      <c r="G36" s="233">
        <f t="shared" si="3"/>
        <v>6628.559447159663</v>
      </c>
      <c r="H36" s="233">
        <f t="shared" si="4"/>
        <v>132.57114076567296</v>
      </c>
      <c r="I36" s="229">
        <f t="shared" si="0"/>
        <v>0.3231497061513751</v>
      </c>
      <c r="J36" s="237">
        <f t="shared" si="1"/>
        <v>77.68011407233207</v>
      </c>
      <c r="K36" s="229">
        <v>1.84442223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4:51" ht="12">
      <c r="D37" s="163">
        <v>35</v>
      </c>
      <c r="E37" s="224">
        <v>1.5</v>
      </c>
      <c r="F37" s="233">
        <f t="shared" si="2"/>
        <v>902018.9202674383</v>
      </c>
      <c r="G37" s="233">
        <f t="shared" si="3"/>
        <v>6628.557958823858</v>
      </c>
      <c r="H37" s="233">
        <f t="shared" si="4"/>
        <v>132.57115040117353</v>
      </c>
      <c r="I37" s="229">
        <f t="shared" si="0"/>
        <v>0.32314970691476125</v>
      </c>
      <c r="J37" s="237">
        <f t="shared" si="1"/>
        <v>77.68010533684163</v>
      </c>
      <c r="K37" s="229">
        <v>1.712969728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4:51" ht="12">
      <c r="D38" s="163">
        <v>36</v>
      </c>
      <c r="E38" s="224">
        <v>1.5</v>
      </c>
      <c r="F38" s="233">
        <f t="shared" si="2"/>
        <v>902018.9427114658</v>
      </c>
      <c r="G38" s="233">
        <f t="shared" si="3"/>
        <v>6628.5570494301155</v>
      </c>
      <c r="H38" s="233">
        <f t="shared" si="4"/>
        <v>132.57115215623412</v>
      </c>
      <c r="I38" s="229">
        <f t="shared" si="0"/>
        <v>0.3231497074924006</v>
      </c>
      <c r="J38" s="237">
        <f t="shared" si="1"/>
        <v>77.68009764086527</v>
      </c>
      <c r="K38" s="229">
        <v>1.39056164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4:51" ht="12">
      <c r="D39" s="163">
        <v>37</v>
      </c>
      <c r="E39" s="224">
        <v>1.5</v>
      </c>
      <c r="F39" s="233">
        <f t="shared" si="2"/>
        <v>902018.9562745963</v>
      </c>
      <c r="G39" s="233">
        <f t="shared" si="3"/>
        <v>6628.556523141234</v>
      </c>
      <c r="H39" s="233">
        <f t="shared" si="4"/>
        <v>132.57114992270758</v>
      </c>
      <c r="I39" s="229">
        <f t="shared" si="0"/>
        <v>0.32314970791412984</v>
      </c>
      <c r="J39" s="237">
        <f t="shared" si="1"/>
        <v>77.6800913325776</v>
      </c>
      <c r="K39" s="229">
        <v>1.92950774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4:51" ht="12">
      <c r="D40" s="163">
        <v>38</v>
      </c>
      <c r="E40" s="224">
        <v>1.5</v>
      </c>
      <c r="F40" s="233">
        <f t="shared" si="2"/>
        <v>902018.964005598</v>
      </c>
      <c r="G40" s="233">
        <f t="shared" si="3"/>
        <v>6628.556241652731</v>
      </c>
      <c r="H40" s="233">
        <f t="shared" si="4"/>
        <v>132.57114603073043</v>
      </c>
      <c r="I40" s="229">
        <f t="shared" si="0"/>
        <v>0.32314970821227873</v>
      </c>
      <c r="J40" s="237">
        <f t="shared" si="1"/>
        <v>77.68008641908614</v>
      </c>
      <c r="K40" s="229">
        <v>1.79704893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4:51" ht="12">
      <c r="D41" s="163">
        <v>39</v>
      </c>
      <c r="E41" s="224">
        <v>1.5</v>
      </c>
      <c r="F41" s="233">
        <f t="shared" si="2"/>
        <v>902018.968042342</v>
      </c>
      <c r="G41" s="233">
        <f t="shared" si="3"/>
        <v>6628.556110263753</v>
      </c>
      <c r="H41" s="233">
        <f t="shared" si="4"/>
        <v>132.5711417911946</v>
      </c>
      <c r="I41" s="229">
        <f t="shared" si="0"/>
        <v>0.3231497084166432</v>
      </c>
      <c r="J41" s="237">
        <f t="shared" si="1"/>
        <v>77.68008274281766</v>
      </c>
      <c r="K41" s="229">
        <v>1.66883064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4:51" ht="12">
      <c r="D42" s="163">
        <v>40</v>
      </c>
      <c r="E42" s="224">
        <v>1.5</v>
      </c>
      <c r="F42" s="233">
        <f t="shared" si="2"/>
        <v>902018.9698383226</v>
      </c>
      <c r="G42" s="233">
        <f t="shared" si="3"/>
        <v>6628.556066152411</v>
      </c>
      <c r="H42" s="233">
        <f t="shared" si="4"/>
        <v>132.5711378740101</v>
      </c>
      <c r="I42" s="229">
        <f t="shared" si="0"/>
        <v>0.3231497085523627</v>
      </c>
      <c r="J42" s="237">
        <f t="shared" si="1"/>
        <v>77.68008008526802</v>
      </c>
      <c r="K42" s="229">
        <v>1.1174887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4:51" ht="12.75" thickBot="1">
      <c r="D43" s="163">
        <v>41</v>
      </c>
      <c r="E43" s="224">
        <v>1.5</v>
      </c>
      <c r="F43" s="234">
        <f t="shared" si="2"/>
        <v>902018.9703504752</v>
      </c>
      <c r="G43" s="234">
        <f t="shared" si="3"/>
        <v>6628.556069063417</v>
      </c>
      <c r="H43" s="234">
        <f t="shared" si="4"/>
        <v>132.5711345638173</v>
      </c>
      <c r="I43" s="230">
        <f t="shared" si="0"/>
        <v>0.3231497086394381</v>
      </c>
      <c r="J43" s="238">
        <f t="shared" si="1"/>
        <v>77.68007822387965</v>
      </c>
      <c r="K43" s="230">
        <v>1.69742515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4:51" ht="12.75" thickBot="1">
      <c r="D44" s="218" t="s">
        <v>93</v>
      </c>
      <c r="E44" s="222">
        <f aca="true" t="shared" si="5" ref="E44:J44">AVERAGE(E3:E43)</f>
        <v>1.5</v>
      </c>
      <c r="F44" s="227">
        <f t="shared" si="5"/>
        <v>901025.1260128471</v>
      </c>
      <c r="G44" s="227">
        <f t="shared" si="5"/>
        <v>6630.027445472966</v>
      </c>
      <c r="H44" s="227">
        <f t="shared" si="5"/>
        <v>133.79641888496346</v>
      </c>
      <c r="I44" s="181">
        <f t="shared" si="5"/>
        <v>0.32311004637586754</v>
      </c>
      <c r="J44" s="239">
        <f t="shared" si="5"/>
        <v>78.32335451607531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4:10" ht="12.75" thickBot="1">
      <c r="D45" s="218" t="s">
        <v>94</v>
      </c>
      <c r="E45" s="222">
        <f aca="true" t="shared" si="6" ref="E45:J45">STDEV(E3:E43)</f>
        <v>0</v>
      </c>
      <c r="F45" s="235">
        <f t="shared" si="6"/>
        <v>7071.718921975461</v>
      </c>
      <c r="G45" s="235">
        <f t="shared" si="6"/>
        <v>87.47734004774954</v>
      </c>
      <c r="H45" s="222">
        <f t="shared" si="6"/>
        <v>2.7862533127236095</v>
      </c>
      <c r="I45" s="181">
        <f t="shared" si="6"/>
        <v>0.00014868959404295092</v>
      </c>
      <c r="J45" s="222">
        <f t="shared" si="6"/>
        <v>1.794276566801031</v>
      </c>
    </row>
    <row r="46" spans="4:10" ht="12.75" thickBot="1">
      <c r="D46" s="218" t="s">
        <v>47</v>
      </c>
      <c r="E46" s="222">
        <f aca="true" t="shared" si="7" ref="E46:J46">E45/E44</f>
        <v>0</v>
      </c>
      <c r="F46" s="222">
        <f t="shared" si="7"/>
        <v>0.007848525771161049</v>
      </c>
      <c r="G46" s="222">
        <f t="shared" si="7"/>
        <v>0.013194114318105838</v>
      </c>
      <c r="H46" s="222">
        <f t="shared" si="7"/>
        <v>0.02082457315333078</v>
      </c>
      <c r="I46" s="181">
        <f t="shared" si="7"/>
        <v>0.00046018251586638456</v>
      </c>
      <c r="J46" s="222">
        <f t="shared" si="7"/>
        <v>0.022908576603837473</v>
      </c>
    </row>
    <row r="47" spans="2:3" ht="12">
      <c r="B47" s="231" t="s">
        <v>454</v>
      </c>
      <c r="C47" s="253" t="s">
        <v>44</v>
      </c>
    </row>
  </sheetData>
  <printOptions headings="1"/>
  <pageMargins left="0.3" right="0.3" top="0.7" bottom="0.7" header="0.5" footer="0.5"/>
  <pageSetup orientation="portrait" paperSize="9" scale="80"/>
  <headerFooter alignWithMargins="0">
    <oddHeader>&amp;L&amp;F, sheet 5&amp;CCo-Evolution of Renewable Natural Resources&amp;R&amp;D, &amp;T</oddHeader>
    <oddFooter>&amp;CPage &amp;P of &amp;N</oddFooter>
  </headerFooter>
  <drawing r:id="rId5"/>
  <legacyDrawing r:id="rId4"/>
  <oleObjects>
    <oleObject progId="Equation.3" shapeId="1487287" r:id="rId1"/>
    <oleObject progId="Equation.3" shapeId="1514129" r:id="rId2"/>
    <oleObject progId="Equation.3" shapeId="154539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7"/>
  <sheetViews>
    <sheetView tabSelected="1" workbookViewId="0" topLeftCell="A1">
      <selection activeCell="M2" sqref="M2"/>
    </sheetView>
  </sheetViews>
  <sheetFormatPr defaultColWidth="11.421875" defaultRowHeight="12"/>
  <cols>
    <col min="1" max="1" width="2.00390625" style="163" customWidth="1"/>
    <col min="2" max="2" width="14.57421875" style="163" customWidth="1"/>
    <col min="3" max="4" width="12.57421875" style="163" customWidth="1"/>
    <col min="5" max="5" width="15.421875" style="163" customWidth="1"/>
    <col min="6" max="6" width="14.140625" style="163" customWidth="1"/>
    <col min="7" max="7" width="11.00390625" style="163" customWidth="1"/>
    <col min="8" max="8" width="12.140625" style="163" customWidth="1"/>
    <col min="9" max="9" width="16.140625" style="163" customWidth="1"/>
    <col min="10" max="10" width="14.140625" style="163" customWidth="1"/>
    <col min="11" max="11" width="11.00390625" style="163" customWidth="1"/>
    <col min="12" max="12" width="12.140625" style="163" customWidth="1"/>
    <col min="13" max="13" width="16.140625" style="163" customWidth="1"/>
    <col min="14" max="14" width="5.421875" style="163" customWidth="1"/>
    <col min="15" max="15" width="6.00390625" style="163" customWidth="1"/>
    <col min="16" max="16" width="2.421875" style="163" customWidth="1"/>
    <col min="17" max="19" width="11.00390625" style="163" customWidth="1"/>
    <col min="20" max="20" width="7.421875" style="163" customWidth="1"/>
    <col min="21" max="26" width="9.00390625" style="163" customWidth="1"/>
    <col min="27" max="16384" width="11.00390625" style="163" customWidth="1"/>
  </cols>
  <sheetData>
    <row r="1" spans="4:12" ht="16.5" customHeight="1" thickBot="1">
      <c r="D1" s="8"/>
      <c r="E1" s="221"/>
      <c r="F1" s="221"/>
      <c r="G1" s="236" t="s">
        <v>49</v>
      </c>
      <c r="H1" s="221"/>
      <c r="I1" s="221"/>
      <c r="J1" s="221"/>
      <c r="K1" s="263"/>
      <c r="L1" s="260"/>
    </row>
    <row r="2" spans="2:13" ht="13.5" thickBot="1">
      <c r="B2" s="304" t="s">
        <v>426</v>
      </c>
      <c r="D2" s="1"/>
      <c r="E2" s="20"/>
      <c r="F2" s="260"/>
      <c r="G2" s="217" t="s">
        <v>386</v>
      </c>
      <c r="H2" s="261"/>
      <c r="I2" s="260"/>
      <c r="J2" s="260"/>
      <c r="K2" s="260"/>
      <c r="L2" s="260"/>
      <c r="M2" s="305" t="s">
        <v>427</v>
      </c>
    </row>
    <row r="3" spans="2:13" ht="13.5" thickBot="1">
      <c r="B3" s="299"/>
      <c r="C3" s="185"/>
      <c r="D3" s="50"/>
      <c r="E3" s="293" t="s">
        <v>352</v>
      </c>
      <c r="F3" s="292" t="s">
        <v>116</v>
      </c>
      <c r="G3" s="273"/>
      <c r="H3" s="274"/>
      <c r="I3" s="290"/>
      <c r="J3" s="290"/>
      <c r="K3" s="290"/>
      <c r="L3" s="290"/>
      <c r="M3" s="184"/>
    </row>
    <row r="4" spans="2:27" ht="13.5" thickBot="1">
      <c r="B4" s="116" t="s">
        <v>105</v>
      </c>
      <c r="C4" s="216"/>
      <c r="D4" s="15"/>
      <c r="E4" s="35"/>
      <c r="F4" s="282" t="s">
        <v>110</v>
      </c>
      <c r="G4" s="278"/>
      <c r="H4" s="285"/>
      <c r="I4" s="271"/>
      <c r="J4" s="287"/>
      <c r="K4" s="271"/>
      <c r="L4" s="287"/>
      <c r="M4" s="216"/>
      <c r="U4" s="254"/>
      <c r="V4" s="293" t="s">
        <v>401</v>
      </c>
      <c r="W4" s="184"/>
      <c r="X4" s="254"/>
      <c r="Y4" s="293" t="s">
        <v>402</v>
      </c>
      <c r="Z4" s="184"/>
      <c r="AA4" s="241" t="s">
        <v>403</v>
      </c>
    </row>
    <row r="5" spans="2:27" ht="16.5" thickBot="1">
      <c r="B5" s="142"/>
      <c r="C5" s="280"/>
      <c r="D5" s="281" t="s">
        <v>280</v>
      </c>
      <c r="E5" s="21"/>
      <c r="F5" s="283"/>
      <c r="G5" s="284"/>
      <c r="H5" s="286" t="s">
        <v>281</v>
      </c>
      <c r="I5" s="284"/>
      <c r="J5" s="283"/>
      <c r="K5" s="284"/>
      <c r="L5" s="288" t="s">
        <v>233</v>
      </c>
      <c r="M5" s="265"/>
      <c r="T5" s="217" t="s">
        <v>404</v>
      </c>
      <c r="U5" s="300" t="s">
        <v>302</v>
      </c>
      <c r="V5" s="300" t="s">
        <v>303</v>
      </c>
      <c r="W5" s="300" t="s">
        <v>304</v>
      </c>
      <c r="X5" s="300" t="s">
        <v>302</v>
      </c>
      <c r="Y5" s="300" t="s">
        <v>303</v>
      </c>
      <c r="Z5" s="300" t="s">
        <v>304</v>
      </c>
      <c r="AA5" s="202"/>
    </row>
    <row r="6" spans="2:27" ht="16.5" thickBot="1">
      <c r="B6" s="36"/>
      <c r="C6" s="272"/>
      <c r="D6" s="270" t="s">
        <v>387</v>
      </c>
      <c r="E6" s="23"/>
      <c r="F6" s="36"/>
      <c r="G6" s="272"/>
      <c r="H6" s="270" t="s">
        <v>388</v>
      </c>
      <c r="I6" s="23"/>
      <c r="J6" s="36"/>
      <c r="K6" s="272"/>
      <c r="L6" s="270" t="s">
        <v>389</v>
      </c>
      <c r="M6" s="23"/>
      <c r="T6" s="218" t="s">
        <v>435</v>
      </c>
      <c r="U6" s="179">
        <v>8.3475</v>
      </c>
      <c r="V6" s="181">
        <v>8.379</v>
      </c>
      <c r="W6" s="181">
        <v>5.2395</v>
      </c>
      <c r="X6" s="301">
        <v>9.7762</v>
      </c>
      <c r="Y6" s="301">
        <v>3.257</v>
      </c>
      <c r="Z6" s="181">
        <v>0.6171</v>
      </c>
      <c r="AA6" s="161"/>
    </row>
    <row r="7" spans="2:27" ht="13.5" thickBot="1">
      <c r="B7" s="242" t="s">
        <v>283</v>
      </c>
      <c r="C7" s="215">
        <v>8</v>
      </c>
      <c r="D7" s="264" t="s">
        <v>108</v>
      </c>
      <c r="E7" s="35"/>
      <c r="F7" s="242" t="s">
        <v>283</v>
      </c>
      <c r="G7" s="215">
        <v>8</v>
      </c>
      <c r="H7" s="264" t="s">
        <v>108</v>
      </c>
      <c r="I7" s="35"/>
      <c r="J7" s="242" t="s">
        <v>283</v>
      </c>
      <c r="K7" s="215">
        <v>5</v>
      </c>
      <c r="L7" s="264" t="s">
        <v>108</v>
      </c>
      <c r="M7" s="35"/>
      <c r="Q7"/>
      <c r="T7" s="218" t="s">
        <v>132</v>
      </c>
      <c r="U7" s="179">
        <v>8.2852</v>
      </c>
      <c r="V7" s="181">
        <v>8.218</v>
      </c>
      <c r="W7" s="181">
        <v>5.1562</v>
      </c>
      <c r="X7" s="181">
        <v>13.9606</v>
      </c>
      <c r="Y7" s="181">
        <v>12.1125</v>
      </c>
      <c r="Z7" s="181">
        <v>4.0753</v>
      </c>
      <c r="AA7" s="161"/>
    </row>
    <row r="8" spans="2:27" ht="12.75" thickBot="1">
      <c r="B8" s="242" t="s">
        <v>282</v>
      </c>
      <c r="C8" s="215">
        <v>1</v>
      </c>
      <c r="D8" s="257" t="s">
        <v>109</v>
      </c>
      <c r="E8" s="265"/>
      <c r="F8" s="242" t="s">
        <v>282</v>
      </c>
      <c r="G8" s="215">
        <v>2</v>
      </c>
      <c r="H8" s="257" t="s">
        <v>109</v>
      </c>
      <c r="I8" s="265"/>
      <c r="J8" s="242" t="s">
        <v>282</v>
      </c>
      <c r="K8" s="215">
        <v>2</v>
      </c>
      <c r="L8" s="257" t="s">
        <v>109</v>
      </c>
      <c r="M8" s="265"/>
      <c r="Q8"/>
      <c r="R8" s="218"/>
      <c r="T8" s="218" t="s">
        <v>146</v>
      </c>
      <c r="U8" s="179">
        <v>8.2852</v>
      </c>
      <c r="V8" s="181">
        <v>8.2928</v>
      </c>
      <c r="W8" s="181">
        <v>5.172</v>
      </c>
      <c r="X8" s="181">
        <v>13.9606</v>
      </c>
      <c r="Y8" s="301">
        <v>7.133</v>
      </c>
      <c r="Z8" s="181">
        <v>3.3772</v>
      </c>
      <c r="AA8" s="161"/>
    </row>
    <row r="9" spans="2:22" ht="12.75" thickBot="1">
      <c r="B9" s="242" t="s">
        <v>80</v>
      </c>
      <c r="C9" s="215">
        <v>0.3</v>
      </c>
      <c r="D9" s="257" t="s">
        <v>274</v>
      </c>
      <c r="E9" s="265"/>
      <c r="F9" s="242" t="s">
        <v>80</v>
      </c>
      <c r="G9" s="215">
        <v>0.5</v>
      </c>
      <c r="H9" s="257" t="s">
        <v>274</v>
      </c>
      <c r="I9" s="265"/>
      <c r="J9" s="242" t="s">
        <v>80</v>
      </c>
      <c r="K9" s="215">
        <v>0.6</v>
      </c>
      <c r="L9" s="257" t="s">
        <v>274</v>
      </c>
      <c r="M9" s="265"/>
      <c r="Q9"/>
      <c r="R9" s="218"/>
      <c r="U9" s="231" t="s">
        <v>435</v>
      </c>
      <c r="V9" s="303" t="s">
        <v>399</v>
      </c>
    </row>
    <row r="10" spans="2:22" ht="12.75" thickBot="1">
      <c r="B10" s="242" t="s">
        <v>385</v>
      </c>
      <c r="C10" s="215">
        <v>1.5</v>
      </c>
      <c r="D10" s="257" t="s">
        <v>275</v>
      </c>
      <c r="E10" s="265"/>
      <c r="F10" s="242" t="s">
        <v>385</v>
      </c>
      <c r="G10" s="215">
        <v>0.7</v>
      </c>
      <c r="H10" s="257" t="s">
        <v>275</v>
      </c>
      <c r="I10" s="265"/>
      <c r="J10" s="242" t="s">
        <v>385</v>
      </c>
      <c r="K10" s="215">
        <v>0.3</v>
      </c>
      <c r="L10" s="257" t="s">
        <v>275</v>
      </c>
      <c r="M10" s="265"/>
      <c r="Q10"/>
      <c r="R10" s="218"/>
      <c r="U10" s="231" t="s">
        <v>132</v>
      </c>
      <c r="V10" s="303" t="s">
        <v>400</v>
      </c>
    </row>
    <row r="11" spans="2:22" ht="15" customHeight="1" thickBot="1">
      <c r="B11" s="262" t="s">
        <v>284</v>
      </c>
      <c r="C11" s="215">
        <v>0.05</v>
      </c>
      <c r="D11" s="257" t="s">
        <v>276</v>
      </c>
      <c r="E11" s="21"/>
      <c r="F11" s="262" t="s">
        <v>284</v>
      </c>
      <c r="G11" s="215">
        <v>0.05</v>
      </c>
      <c r="H11" s="257" t="s">
        <v>276</v>
      </c>
      <c r="I11" s="21"/>
      <c r="J11" s="262" t="s">
        <v>284</v>
      </c>
      <c r="K11" s="215">
        <v>0.05</v>
      </c>
      <c r="L11" s="257" t="s">
        <v>276</v>
      </c>
      <c r="M11" s="21"/>
      <c r="Q11"/>
      <c r="R11" s="218"/>
      <c r="U11" s="231" t="s">
        <v>146</v>
      </c>
      <c r="V11" s="303" t="s">
        <v>116</v>
      </c>
    </row>
    <row r="12" spans="2:23" ht="15" customHeight="1" thickBot="1">
      <c r="B12" s="262"/>
      <c r="C12" s="215"/>
      <c r="D12" s="257"/>
      <c r="E12" s="21"/>
      <c r="F12" s="262" t="s">
        <v>392</v>
      </c>
      <c r="G12" s="214">
        <f>G10/C10</f>
        <v>0.4666666666666666</v>
      </c>
      <c r="H12" s="257" t="s">
        <v>278</v>
      </c>
      <c r="I12" s="21"/>
      <c r="J12" s="262" t="s">
        <v>392</v>
      </c>
      <c r="K12" s="214">
        <f>K10/G10</f>
        <v>0.4285714285714286</v>
      </c>
      <c r="L12" s="257" t="s">
        <v>279</v>
      </c>
      <c r="M12" s="21"/>
      <c r="Q12"/>
      <c r="U12" s="217" t="s">
        <v>406</v>
      </c>
      <c r="V12" s="163" t="s">
        <v>400</v>
      </c>
      <c r="W12" s="163" t="s">
        <v>405</v>
      </c>
    </row>
    <row r="13" spans="2:23" s="243" customFormat="1" ht="15" customHeight="1" thickBot="1">
      <c r="B13" s="115" t="s">
        <v>422</v>
      </c>
      <c r="C13" s="279">
        <f>1/(1+C11)</f>
        <v>0.9523809523809523</v>
      </c>
      <c r="D13" s="275" t="s">
        <v>277</v>
      </c>
      <c r="E13" s="276"/>
      <c r="F13" s="115" t="s">
        <v>422</v>
      </c>
      <c r="G13" s="279">
        <f>1/(1+G11)</f>
        <v>0.9523809523809523</v>
      </c>
      <c r="H13" s="275" t="s">
        <v>277</v>
      </c>
      <c r="I13" s="276"/>
      <c r="J13" s="115" t="s">
        <v>422</v>
      </c>
      <c r="K13" s="279">
        <f>1/(1+K11)</f>
        <v>0.9523809523809523</v>
      </c>
      <c r="L13" s="275" t="s">
        <v>277</v>
      </c>
      <c r="M13" s="276"/>
      <c r="Q13"/>
      <c r="U13" s="302">
        <v>0.3304761904761905</v>
      </c>
      <c r="V13" s="302">
        <v>0.3304761904761905</v>
      </c>
      <c r="W13" s="302">
        <v>0.3304761904761905</v>
      </c>
    </row>
    <row r="14" spans="2:23" ht="13.5" thickBot="1">
      <c r="B14" s="48"/>
      <c r="C14" s="259" t="s">
        <v>384</v>
      </c>
      <c r="D14" s="185"/>
      <c r="E14" s="184"/>
      <c r="F14" s="1"/>
      <c r="G14" s="217" t="s">
        <v>384</v>
      </c>
      <c r="I14" s="265"/>
      <c r="J14" s="1"/>
      <c r="K14" s="217" t="s">
        <v>384</v>
      </c>
      <c r="M14" s="265"/>
      <c r="U14" s="203">
        <v>0.3286931780757469</v>
      </c>
      <c r="V14" s="203">
        <v>0.3275869058477754</v>
      </c>
      <c r="W14" s="203">
        <v>0.3275869058477754</v>
      </c>
    </row>
    <row r="15" spans="2:23" ht="12.75" thickBot="1">
      <c r="B15" s="242" t="s">
        <v>74</v>
      </c>
      <c r="C15" s="138">
        <v>0.05</v>
      </c>
      <c r="D15" s="264" t="s">
        <v>106</v>
      </c>
      <c r="E15" s="216"/>
      <c r="F15" s="242" t="s">
        <v>74</v>
      </c>
      <c r="G15" s="138">
        <v>0.01</v>
      </c>
      <c r="H15" s="264" t="s">
        <v>106</v>
      </c>
      <c r="I15" s="216"/>
      <c r="J15" s="242" t="s">
        <v>74</v>
      </c>
      <c r="K15" s="138">
        <v>0.005</v>
      </c>
      <c r="L15" s="264" t="s">
        <v>106</v>
      </c>
      <c r="M15" s="216"/>
      <c r="U15" s="203">
        <v>0.32599332302273465</v>
      </c>
      <c r="V15" s="203">
        <v>0.32236198566760277</v>
      </c>
      <c r="W15" s="203">
        <v>0.32236198566760277</v>
      </c>
    </row>
    <row r="16" spans="2:23" ht="12.75" thickBot="1">
      <c r="B16" s="242" t="s">
        <v>79</v>
      </c>
      <c r="C16" s="138">
        <v>0.2</v>
      </c>
      <c r="D16" s="257" t="s">
        <v>107</v>
      </c>
      <c r="E16" s="265"/>
      <c r="F16" s="242" t="s">
        <v>79</v>
      </c>
      <c r="G16" s="138">
        <v>0.1</v>
      </c>
      <c r="H16" s="257" t="s">
        <v>107</v>
      </c>
      <c r="I16" s="265"/>
      <c r="J16" s="242" t="s">
        <v>79</v>
      </c>
      <c r="K16" s="138">
        <v>0.05</v>
      </c>
      <c r="L16" s="257" t="s">
        <v>107</v>
      </c>
      <c r="M16" s="265"/>
      <c r="U16" s="203">
        <v>0.3222213157172683</v>
      </c>
      <c r="V16" s="203">
        <v>0.3154503350622264</v>
      </c>
      <c r="W16" s="203">
        <v>0.3137569249490195</v>
      </c>
    </row>
    <row r="17" spans="2:23" ht="12.75" thickBot="1">
      <c r="B17" s="266" t="s">
        <v>52</v>
      </c>
      <c r="C17" s="138">
        <f>C10*(C9-C11)/(2*C9)</f>
        <v>0.625</v>
      </c>
      <c r="D17" s="257" t="s">
        <v>180</v>
      </c>
      <c r="E17" s="265"/>
      <c r="F17" s="266" t="s">
        <v>52</v>
      </c>
      <c r="G17" s="138">
        <f>G10*(G9-G11)/(2*G9)</f>
        <v>0.315</v>
      </c>
      <c r="H17" s="257" t="s">
        <v>180</v>
      </c>
      <c r="I17" s="265"/>
      <c r="J17" s="266" t="s">
        <v>52</v>
      </c>
      <c r="K17" s="138">
        <f>K10*(K9-K11)/(2*K9)</f>
        <v>0.13749999999999998</v>
      </c>
      <c r="L17" s="257" t="s">
        <v>180</v>
      </c>
      <c r="M17" s="265"/>
      <c r="U17" s="203">
        <v>0.31745212198214595</v>
      </c>
      <c r="V17" s="203">
        <v>0.31147178395564334</v>
      </c>
      <c r="W17" s="203">
        <v>0.3038790611909297</v>
      </c>
    </row>
    <row r="18" spans="2:23" ht="12.75" thickBot="1">
      <c r="B18" s="266" t="s">
        <v>53</v>
      </c>
      <c r="C18" s="138">
        <f>C10*((C9^2)-(C11^2))/(4*C9)</f>
        <v>0.10937499999999999</v>
      </c>
      <c r="D18" s="257" t="s">
        <v>181</v>
      </c>
      <c r="E18" s="265"/>
      <c r="F18" s="266" t="s">
        <v>53</v>
      </c>
      <c r="G18" s="138">
        <f>G10*((G9^2)-(G11^2))/(4*G9)</f>
        <v>0.086625</v>
      </c>
      <c r="H18" s="257" t="s">
        <v>181</v>
      </c>
      <c r="I18" s="265"/>
      <c r="J18" s="266" t="s">
        <v>53</v>
      </c>
      <c r="K18" s="138">
        <f>K10*((K9^2)-(K11^2))/(4*K9)</f>
        <v>0.0446875</v>
      </c>
      <c r="L18" s="257" t="s">
        <v>181</v>
      </c>
      <c r="M18" s="265"/>
      <c r="U18" s="203">
        <v>0.31209858328430035</v>
      </c>
      <c r="V18" s="203">
        <v>0.3091765257887389</v>
      </c>
      <c r="W18" s="203">
        <v>0.2943117256079677</v>
      </c>
    </row>
    <row r="19" spans="2:23" ht="15" customHeight="1" thickBot="1">
      <c r="B19" s="267"/>
      <c r="C19" s="277">
        <f>(1+C11)*(C7-C8*((C9^2)-(C11^2))/(4*C9))</f>
        <v>8.3234375</v>
      </c>
      <c r="D19" s="291" t="s">
        <v>54</v>
      </c>
      <c r="E19" s="216"/>
      <c r="F19" s="267"/>
      <c r="G19" s="277">
        <f>(1+G11)*(G7-G8*((G9^2)-(G11^2))/(4*G9))</f>
        <v>8.140125000000001</v>
      </c>
      <c r="H19" s="291" t="s">
        <v>54</v>
      </c>
      <c r="I19" s="216"/>
      <c r="J19" s="267"/>
      <c r="K19" s="277">
        <f>(1+K11)*(K7-K8*((K9^2)-(K11^2))/(4*K9))</f>
        <v>4.9371875</v>
      </c>
      <c r="L19" s="291" t="s">
        <v>54</v>
      </c>
      <c r="M19" s="216"/>
      <c r="U19" s="203">
        <v>0.30683106091775025</v>
      </c>
      <c r="V19" s="203">
        <v>0.30841126022869064</v>
      </c>
      <c r="W19" s="203">
        <v>0.28890894440172</v>
      </c>
    </row>
    <row r="20" spans="2:23" ht="18.75" customHeight="1" thickBot="1">
      <c r="B20" s="114" t="s">
        <v>273</v>
      </c>
      <c r="C20" s="206">
        <f>(1+C11)*(C7-C8*C33)</f>
        <v>8.3475</v>
      </c>
      <c r="D20" s="185" t="s">
        <v>234</v>
      </c>
      <c r="E20" s="184"/>
      <c r="F20" s="114" t="s">
        <v>273</v>
      </c>
      <c r="G20" s="206">
        <f>(1+G11)*(G7-G8*G33)</f>
        <v>8.379000000000001</v>
      </c>
      <c r="H20" s="185" t="s">
        <v>234</v>
      </c>
      <c r="I20" s="184"/>
      <c r="J20" s="114" t="s">
        <v>273</v>
      </c>
      <c r="K20" s="206">
        <f>(1+K11)*(K7-K8*K33)</f>
        <v>5.2395000000000005</v>
      </c>
      <c r="L20" s="185" t="s">
        <v>234</v>
      </c>
      <c r="M20" s="184"/>
      <c r="U20" s="203">
        <v>0.30225462888675453</v>
      </c>
      <c r="V20" s="203">
        <v>0.3082482284488952</v>
      </c>
      <c r="W20" s="203">
        <v>0.28612680360407267</v>
      </c>
    </row>
    <row r="21" spans="2:23" ht="15" customHeight="1" thickBot="1">
      <c r="B21" s="254"/>
      <c r="C21" s="258"/>
      <c r="D21" s="259" t="s">
        <v>383</v>
      </c>
      <c r="E21" s="184"/>
      <c r="F21" s="254"/>
      <c r="G21" s="258"/>
      <c r="H21" s="259" t="s">
        <v>390</v>
      </c>
      <c r="I21" s="184"/>
      <c r="J21" s="254"/>
      <c r="K21" s="258"/>
      <c r="L21" s="259" t="s">
        <v>391</v>
      </c>
      <c r="M21" s="184"/>
      <c r="U21" s="203">
        <v>0.2985943434936682</v>
      </c>
      <c r="V21" s="203">
        <v>0.3082239244827525</v>
      </c>
      <c r="W21" s="203">
        <v>0.28435947066671136</v>
      </c>
    </row>
    <row r="22" spans="2:23" ht="21" customHeight="1" thickBot="1">
      <c r="B22" s="123"/>
      <c r="C22" s="179" t="s">
        <v>75</v>
      </c>
      <c r="D22" s="179" t="s">
        <v>76</v>
      </c>
      <c r="E22" s="180" t="s">
        <v>185</v>
      </c>
      <c r="F22" s="47"/>
      <c r="G22" s="179" t="s">
        <v>75</v>
      </c>
      <c r="H22" s="179" t="s">
        <v>76</v>
      </c>
      <c r="I22" s="180" t="s">
        <v>185</v>
      </c>
      <c r="J22" s="47"/>
      <c r="K22" s="179" t="s">
        <v>75</v>
      </c>
      <c r="L22" s="179" t="s">
        <v>76</v>
      </c>
      <c r="M22" s="180" t="s">
        <v>185</v>
      </c>
      <c r="U22" s="203">
        <v>0.29569574322152636</v>
      </c>
      <c r="V22" s="203">
        <v>0.30821151724687595</v>
      </c>
      <c r="W22" s="203">
        <v>0.2829958431346947</v>
      </c>
    </row>
    <row r="23" spans="2:23" ht="16.5" customHeight="1" thickBot="1">
      <c r="B23" s="294" t="s">
        <v>182</v>
      </c>
      <c r="C23" s="179" t="s">
        <v>423</v>
      </c>
      <c r="D23" s="179" t="s">
        <v>424</v>
      </c>
      <c r="E23" s="179" t="s">
        <v>313</v>
      </c>
      <c r="F23" s="294" t="s">
        <v>182</v>
      </c>
      <c r="G23" s="179" t="s">
        <v>423</v>
      </c>
      <c r="H23" s="179" t="s">
        <v>424</v>
      </c>
      <c r="I23" s="179" t="s">
        <v>313</v>
      </c>
      <c r="J23" s="294" t="s">
        <v>182</v>
      </c>
      <c r="K23" s="179" t="s">
        <v>423</v>
      </c>
      <c r="L23" s="179" t="s">
        <v>424</v>
      </c>
      <c r="M23" s="179" t="s">
        <v>313</v>
      </c>
      <c r="U23" s="203">
        <v>0.2932496458034831</v>
      </c>
      <c r="V23" s="203">
        <v>0.3082109588411559</v>
      </c>
      <c r="W23" s="203">
        <v>0.28200735332050497</v>
      </c>
    </row>
    <row r="24" spans="2:13" ht="12.75" thickBot="1">
      <c r="B24" s="161">
        <v>0</v>
      </c>
      <c r="C24" s="138">
        <v>0.05</v>
      </c>
      <c r="D24" s="181">
        <f>$C$16</f>
        <v>0.2</v>
      </c>
      <c r="E24" s="181">
        <f aca="true" t="shared" si="0" ref="E24:E33">($C$13^B24)*($C$7*C24-($C$8/2)*C24^2)</f>
        <v>0.39875000000000005</v>
      </c>
      <c r="F24" s="161">
        <v>0</v>
      </c>
      <c r="G24" s="138">
        <v>0.01</v>
      </c>
      <c r="H24" s="181">
        <f>$G$16</f>
        <v>0.1</v>
      </c>
      <c r="I24" s="181">
        <f aca="true" t="shared" si="1" ref="I24:I33">($G$13^F24)*($G$7*G24-($G$8/2)*G24^2)</f>
        <v>0.0799</v>
      </c>
      <c r="J24" s="161">
        <v>0</v>
      </c>
      <c r="K24" s="138">
        <v>0.005</v>
      </c>
      <c r="L24" s="181">
        <f>$K$16</f>
        <v>0.05</v>
      </c>
      <c r="M24" s="181">
        <f>($K$13^J24)*($K$7*K24-($K$8/2)*K24^2)</f>
        <v>0.024975</v>
      </c>
    </row>
    <row r="25" spans="2:13" ht="12.75" thickBot="1">
      <c r="B25" s="161">
        <f aca="true" t="shared" si="2" ref="B25:B34">B24+1</f>
        <v>1</v>
      </c>
      <c r="C25" s="138">
        <v>0.05</v>
      </c>
      <c r="D25" s="181">
        <f>D24+$C$9*D24*(1-D24/$C$10)-C24</f>
        <v>0.202</v>
      </c>
      <c r="E25" s="181">
        <f t="shared" si="0"/>
        <v>0.3797619047619048</v>
      </c>
      <c r="F25" s="161">
        <f aca="true" t="shared" si="3" ref="F25:F34">F24+1</f>
        <v>1</v>
      </c>
      <c r="G25" s="138">
        <v>0.01</v>
      </c>
      <c r="H25" s="181">
        <f aca="true" t="shared" si="4" ref="H25:H34">H24+$G$9*H24*(1-H24/$G$10)-G24</f>
        <v>0.13285714285714284</v>
      </c>
      <c r="I25" s="181">
        <f t="shared" si="1"/>
        <v>0.07609523809523809</v>
      </c>
      <c r="J25" s="161">
        <f aca="true" t="shared" si="5" ref="J25:J34">J24+1</f>
        <v>1</v>
      </c>
      <c r="K25" s="138">
        <v>0.005</v>
      </c>
      <c r="L25" s="181">
        <f>L24+$K$9*L24*(1-L24/$K$10)-K24</f>
        <v>0.06999999999999999</v>
      </c>
      <c r="M25" s="181">
        <f aca="true" t="shared" si="6" ref="M25:M33">($K$13^J25)*($K$7*K25-($K$8/2)*K25^2)</f>
        <v>0.023785714285714285</v>
      </c>
    </row>
    <row r="26" spans="2:13" ht="12.75" thickBot="1">
      <c r="B26" s="161">
        <f t="shared" si="2"/>
        <v>2</v>
      </c>
      <c r="C26" s="138">
        <v>0.05</v>
      </c>
      <c r="D26" s="181">
        <f aca="true" t="shared" si="7" ref="D26:D34">D25+$C$9*D25*(1-D25/$C$10)-C25</f>
        <v>0.20443920000000004</v>
      </c>
      <c r="E26" s="181">
        <f t="shared" si="0"/>
        <v>0.3616780045351474</v>
      </c>
      <c r="F26" s="161">
        <f t="shared" si="3"/>
        <v>2</v>
      </c>
      <c r="G26" s="138">
        <v>0.01</v>
      </c>
      <c r="H26" s="181">
        <f t="shared" si="4"/>
        <v>0.17667784256559763</v>
      </c>
      <c r="I26" s="181">
        <f t="shared" si="1"/>
        <v>0.07247165532879818</v>
      </c>
      <c r="J26" s="161">
        <f t="shared" si="5"/>
        <v>2</v>
      </c>
      <c r="K26" s="138">
        <v>0.005</v>
      </c>
      <c r="L26" s="181">
        <f>L25+$K$9*L25*(1-L25/$K$10)-K25</f>
        <v>0.09719999999999998</v>
      </c>
      <c r="M26" s="181">
        <f t="shared" si="6"/>
        <v>0.022653061224489793</v>
      </c>
    </row>
    <row r="27" spans="2:13" ht="12.75" thickBot="1">
      <c r="B27" s="161">
        <f t="shared" si="2"/>
        <v>3</v>
      </c>
      <c r="C27" s="138">
        <v>0.05</v>
      </c>
      <c r="D27" s="181">
        <f t="shared" si="7"/>
        <v>0.20741188270067207</v>
      </c>
      <c r="E27" s="181">
        <f t="shared" si="0"/>
        <v>0.3444552424144261</v>
      </c>
      <c r="F27" s="161">
        <f t="shared" si="3"/>
        <v>3</v>
      </c>
      <c r="G27" s="138">
        <v>0.01</v>
      </c>
      <c r="H27" s="181">
        <f t="shared" si="4"/>
        <v>0.23272029238151493</v>
      </c>
      <c r="I27" s="181">
        <f t="shared" si="1"/>
        <v>0.06902062412266494</v>
      </c>
      <c r="J27" s="161">
        <f t="shared" si="5"/>
        <v>3</v>
      </c>
      <c r="K27" s="138">
        <v>0.005</v>
      </c>
      <c r="L27" s="181">
        <f aca="true" t="shared" si="8" ref="L27:L34">L26+$K$9*L26*(1-L26/$K$10)-K26</f>
        <v>0.13162431999999996</v>
      </c>
      <c r="M27" s="181">
        <f t="shared" si="6"/>
        <v>0.021574344023323613</v>
      </c>
    </row>
    <row r="28" spans="2:13" ht="12.75" thickBot="1">
      <c r="B28" s="161">
        <f t="shared" si="2"/>
        <v>4</v>
      </c>
      <c r="C28" s="138">
        <v>0.05</v>
      </c>
      <c r="D28" s="181">
        <f t="shared" si="7"/>
        <v>0.2110315096937862</v>
      </c>
      <c r="E28" s="181">
        <f t="shared" si="0"/>
        <v>0.32805261182326295</v>
      </c>
      <c r="F28" s="161">
        <f t="shared" si="3"/>
        <v>4</v>
      </c>
      <c r="G28" s="138">
        <v>0.01</v>
      </c>
      <c r="H28" s="181">
        <f t="shared" si="4"/>
        <v>0.3003956282250311</v>
      </c>
      <c r="I28" s="181">
        <f t="shared" si="1"/>
        <v>0.06573392773587136</v>
      </c>
      <c r="J28" s="161">
        <f t="shared" si="5"/>
        <v>4</v>
      </c>
      <c r="K28" s="138">
        <v>0.005</v>
      </c>
      <c r="L28" s="181">
        <f t="shared" si="8"/>
        <v>0.17094898876907516</v>
      </c>
      <c r="M28" s="181">
        <f t="shared" si="6"/>
        <v>0.02054699430792725</v>
      </c>
    </row>
    <row r="29" spans="2:13" ht="12.75" thickBot="1">
      <c r="B29" s="161">
        <f t="shared" si="2"/>
        <v>5</v>
      </c>
      <c r="C29" s="138">
        <v>0.05</v>
      </c>
      <c r="D29" s="181">
        <f t="shared" si="7"/>
        <v>0.21543410298519433</v>
      </c>
      <c r="E29" s="181">
        <f t="shared" si="0"/>
        <v>0.312431058879298</v>
      </c>
      <c r="F29" s="161">
        <f t="shared" si="3"/>
        <v>5</v>
      </c>
      <c r="G29" s="138">
        <v>0.01</v>
      </c>
      <c r="H29" s="181">
        <f t="shared" si="4"/>
        <v>0.3761380612970387</v>
      </c>
      <c r="I29" s="181">
        <f t="shared" si="1"/>
        <v>0.06260374070082986</v>
      </c>
      <c r="J29" s="161">
        <f t="shared" si="5"/>
        <v>5</v>
      </c>
      <c r="K29" s="138">
        <v>0.005</v>
      </c>
      <c r="L29" s="181">
        <f t="shared" si="8"/>
        <v>0.21007126850818147</v>
      </c>
      <c r="M29" s="181">
        <f t="shared" si="6"/>
        <v>0.019568566007549762</v>
      </c>
    </row>
    <row r="30" spans="2:13" ht="12.75" thickBot="1">
      <c r="B30" s="161">
        <f t="shared" si="2"/>
        <v>6</v>
      </c>
      <c r="C30" s="138">
        <v>0.05</v>
      </c>
      <c r="D30" s="181">
        <f t="shared" si="7"/>
        <v>0.22078196333494554</v>
      </c>
      <c r="E30" s="181">
        <f t="shared" si="0"/>
        <v>0.29755338940885523</v>
      </c>
      <c r="F30" s="161">
        <f t="shared" si="3"/>
        <v>6</v>
      </c>
      <c r="G30" s="138">
        <v>0.01</v>
      </c>
      <c r="H30" s="181">
        <f t="shared" si="4"/>
        <v>0.45315006254820456</v>
      </c>
      <c r="I30" s="181">
        <f t="shared" si="1"/>
        <v>0.05962261019126654</v>
      </c>
      <c r="J30" s="161">
        <f t="shared" si="5"/>
        <v>6</v>
      </c>
      <c r="K30" s="138">
        <v>0.005</v>
      </c>
      <c r="L30" s="181">
        <f t="shared" si="8"/>
        <v>0.2428541539078174</v>
      </c>
      <c r="M30" s="181">
        <f t="shared" si="6"/>
        <v>0.018636729530999773</v>
      </c>
    </row>
    <row r="31" spans="2:13" ht="12.75" thickBot="1">
      <c r="B31" s="161">
        <f t="shared" si="2"/>
        <v>7</v>
      </c>
      <c r="C31" s="138">
        <v>0.05</v>
      </c>
      <c r="D31" s="181">
        <f t="shared" si="7"/>
        <v>0.2272676172686226</v>
      </c>
      <c r="E31" s="181">
        <f t="shared" si="0"/>
        <v>0.28338418038938595</v>
      </c>
      <c r="F31" s="161">
        <f t="shared" si="3"/>
        <v>7</v>
      </c>
      <c r="G31" s="138">
        <v>0.01</v>
      </c>
      <c r="H31" s="181">
        <f t="shared" si="4"/>
        <v>0.5230501086884198</v>
      </c>
      <c r="I31" s="181">
        <f t="shared" si="1"/>
        <v>0.056783438277396694</v>
      </c>
      <c r="J31" s="161">
        <f t="shared" si="5"/>
        <v>7</v>
      </c>
      <c r="K31" s="138">
        <v>0.005</v>
      </c>
      <c r="L31" s="181">
        <f t="shared" si="8"/>
        <v>0.2656103661119441</v>
      </c>
      <c r="M31" s="181">
        <f t="shared" si="6"/>
        <v>0.017749266219999782</v>
      </c>
    </row>
    <row r="32" spans="2:13" ht="12.75" thickBot="1">
      <c r="B32" s="161">
        <f t="shared" si="2"/>
        <v>8</v>
      </c>
      <c r="C32" s="138">
        <v>0.05</v>
      </c>
      <c r="D32" s="181">
        <f t="shared" si="7"/>
        <v>0.235117788477418</v>
      </c>
      <c r="E32" s="181">
        <f t="shared" si="0"/>
        <v>0.269889695608939</v>
      </c>
      <c r="F32" s="161">
        <f t="shared" si="3"/>
        <v>8</v>
      </c>
      <c r="G32" s="138">
        <v>0.01</v>
      </c>
      <c r="H32" s="181">
        <f t="shared" si="4"/>
        <v>0.5791598657476528</v>
      </c>
      <c r="I32" s="181">
        <f t="shared" si="1"/>
        <v>0.05407946502609209</v>
      </c>
      <c r="J32" s="161">
        <f t="shared" si="5"/>
        <v>8</v>
      </c>
      <c r="K32" s="138">
        <v>0.005</v>
      </c>
      <c r="L32" s="181">
        <f t="shared" si="8"/>
        <v>0.27887885260686857</v>
      </c>
      <c r="M32" s="181">
        <f t="shared" si="6"/>
        <v>0.016904063066666457</v>
      </c>
    </row>
    <row r="33" spans="2:13" ht="12.75" thickBot="1">
      <c r="B33" s="161">
        <f t="shared" si="2"/>
        <v>9</v>
      </c>
      <c r="C33" s="138">
        <v>0.05</v>
      </c>
      <c r="D33" s="181">
        <f t="shared" si="7"/>
        <v>0.244597050128941</v>
      </c>
      <c r="E33" s="181">
        <f t="shared" si="0"/>
        <v>0.25703780534184667</v>
      </c>
      <c r="F33" s="161">
        <f t="shared" si="3"/>
        <v>9</v>
      </c>
      <c r="G33" s="138">
        <v>0.01</v>
      </c>
      <c r="H33" s="181">
        <f t="shared" si="4"/>
        <v>0.6191496914123082</v>
      </c>
      <c r="I33" s="181">
        <f t="shared" si="1"/>
        <v>0.05150425240580199</v>
      </c>
      <c r="J33" s="161">
        <f t="shared" si="5"/>
        <v>9</v>
      </c>
      <c r="K33" s="138">
        <v>0.005</v>
      </c>
      <c r="L33" s="181">
        <f t="shared" si="8"/>
        <v>0.28565933530834264</v>
      </c>
      <c r="M33" s="181">
        <f t="shared" si="6"/>
        <v>0.016099107682539485</v>
      </c>
    </row>
    <row r="34" spans="2:13" ht="12.75" thickBot="1">
      <c r="B34" s="161">
        <f t="shared" si="2"/>
        <v>10</v>
      </c>
      <c r="C34" s="138">
        <v>0.05</v>
      </c>
      <c r="D34" s="181">
        <f t="shared" si="7"/>
        <v>0.2560106217812674</v>
      </c>
      <c r="E34" s="181">
        <f>($C$13^B33)*($C$7*$C$9*$D$34*(1-$D$34/$C$10)-($C$8/2)*($C$9*$D$34*(1-$D$34/$C$10))^2)/$C$11</f>
        <v>6.543175911255799</v>
      </c>
      <c r="F34" s="161">
        <f t="shared" si="3"/>
        <v>10</v>
      </c>
      <c r="G34" s="138">
        <v>0.01</v>
      </c>
      <c r="H34" s="181">
        <f t="shared" si="4"/>
        <v>0.6449057225642076</v>
      </c>
      <c r="I34" s="181">
        <f>($G$13^F33)*($G$7*$G$9*$H$34*(1-$H$34/$G$10)-($G$8/2)*($G$9*$H$34*(1-$H$34/$G$10))^2)/$G$11</f>
        <v>2.609222062783676</v>
      </c>
      <c r="J34" s="161">
        <f t="shared" si="5"/>
        <v>10</v>
      </c>
      <c r="K34" s="138">
        <v>0.005</v>
      </c>
      <c r="L34" s="181">
        <f t="shared" si="8"/>
        <v>0.28885242479573997</v>
      </c>
      <c r="M34" s="181">
        <f>($K$13^J33)*($K$7*$K$9*$L$34*(1-$L$34/$K$10)-($K$8/2)*($K$9*$L$34*(1-$L$34/$K$10))^2)/$K$11</f>
        <v>0.4145939878596633</v>
      </c>
    </row>
    <row r="35" spans="2:13" s="243" customFormat="1" ht="12.75" thickBot="1">
      <c r="B35" s="248"/>
      <c r="C35" s="297"/>
      <c r="D35" s="249" t="s">
        <v>314</v>
      </c>
      <c r="E35" s="289">
        <f>SUM(E24:E34)</f>
        <v>9.776169804418863</v>
      </c>
      <c r="F35" s="248"/>
      <c r="G35" s="297"/>
      <c r="H35" s="249" t="s">
        <v>314</v>
      </c>
      <c r="I35" s="289">
        <f>SUM(I24:I34)</f>
        <v>3.2570370146676355</v>
      </c>
      <c r="J35" s="248"/>
      <c r="K35" s="297"/>
      <c r="L35" s="249" t="s">
        <v>314</v>
      </c>
      <c r="M35" s="289">
        <f>SUM(M24:M34)</f>
        <v>0.6170868342088734</v>
      </c>
    </row>
    <row r="36" spans="6:12" ht="12.75" thickBot="1">
      <c r="F36" s="254"/>
      <c r="G36" s="259" t="s">
        <v>297</v>
      </c>
      <c r="H36" s="184"/>
      <c r="J36" s="254"/>
      <c r="K36" s="259" t="s">
        <v>285</v>
      </c>
      <c r="L36" s="184"/>
    </row>
    <row r="37" spans="6:12" ht="15.75" customHeight="1" thickBot="1">
      <c r="F37" s="295"/>
      <c r="G37" s="298" t="s">
        <v>300</v>
      </c>
      <c r="H37" s="296" t="s">
        <v>301</v>
      </c>
      <c r="J37" s="295"/>
      <c r="K37" s="298" t="s">
        <v>298</v>
      </c>
      <c r="L37" s="296" t="s">
        <v>299</v>
      </c>
    </row>
    <row r="38" spans="2:12" ht="12.75" thickBot="1">
      <c r="B38" s="163" t="s">
        <v>371</v>
      </c>
      <c r="F38" s="202">
        <v>0</v>
      </c>
      <c r="G38" s="199">
        <f>$G$12*$C$24</f>
        <v>0.02333333333333333</v>
      </c>
      <c r="H38" s="199">
        <f>$G$12*$D$24</f>
        <v>0.09333333333333332</v>
      </c>
      <c r="J38" s="202">
        <v>0</v>
      </c>
      <c r="K38" s="199">
        <f>$K$12*$G$24</f>
        <v>0.004285714285714286</v>
      </c>
      <c r="L38" s="199">
        <f>$K$12*$H$24</f>
        <v>0.042857142857142864</v>
      </c>
    </row>
    <row r="39" spans="2:12" ht="12.75" thickBot="1">
      <c r="B39" s="163" t="s">
        <v>372</v>
      </c>
      <c r="F39" s="161">
        <v>1</v>
      </c>
      <c r="G39" s="181">
        <f>$G$12*$C$25</f>
        <v>0.02333333333333333</v>
      </c>
      <c r="H39" s="199">
        <f>$G$12*$D$25</f>
        <v>0.09426666666666667</v>
      </c>
      <c r="J39" s="161">
        <v>1</v>
      </c>
      <c r="K39" s="199">
        <f>$K$12*$G$25</f>
        <v>0.004285714285714286</v>
      </c>
      <c r="L39" s="199">
        <f>$K$12*$H$25</f>
        <v>0.05693877551020408</v>
      </c>
    </row>
    <row r="40" spans="2:13" ht="12.75" thickBot="1">
      <c r="B40" s="163" t="s">
        <v>373</v>
      </c>
      <c r="F40" s="161">
        <v>2</v>
      </c>
      <c r="G40" s="181">
        <f>$G$12*$C$26</f>
        <v>0.02333333333333333</v>
      </c>
      <c r="H40" s="199">
        <f>$G$12*$D$26</f>
        <v>0.09540496000000001</v>
      </c>
      <c r="I40" s="163" t="s">
        <v>376</v>
      </c>
      <c r="J40" s="161">
        <v>2</v>
      </c>
      <c r="K40" s="199">
        <f>$K$12*$G$26</f>
        <v>0.004285714285714286</v>
      </c>
      <c r="L40" s="199">
        <f>$K$12*$H$26</f>
        <v>0.07571907538525613</v>
      </c>
      <c r="M40" s="163" t="s">
        <v>380</v>
      </c>
    </row>
    <row r="41" spans="2:13" ht="12.75" thickBot="1">
      <c r="B41" s="163" t="s">
        <v>374</v>
      </c>
      <c r="F41" s="161">
        <v>3</v>
      </c>
      <c r="G41" s="181">
        <f>$G$12*$C$27</f>
        <v>0.02333333333333333</v>
      </c>
      <c r="H41" s="199">
        <f>$G$12*$D$27</f>
        <v>0.09679221192698029</v>
      </c>
      <c r="I41" s="163" t="s">
        <v>377</v>
      </c>
      <c r="J41" s="161">
        <v>3</v>
      </c>
      <c r="K41" s="199">
        <f>$K$12*$G$27</f>
        <v>0.004285714285714286</v>
      </c>
      <c r="L41" s="199">
        <f>$K$12*$H$27</f>
        <v>0.0997372681635064</v>
      </c>
      <c r="M41" s="163" t="s">
        <v>271</v>
      </c>
    </row>
    <row r="42" spans="2:13" ht="12.75" thickBot="1">
      <c r="B42" s="163" t="s">
        <v>375</v>
      </c>
      <c r="F42" s="161">
        <v>4</v>
      </c>
      <c r="G42" s="181">
        <f>$G$12*$C$28</f>
        <v>0.02333333333333333</v>
      </c>
      <c r="H42" s="199">
        <f>$G$12*$D$28</f>
        <v>0.09848137119043356</v>
      </c>
      <c r="I42" s="163" t="s">
        <v>378</v>
      </c>
      <c r="J42" s="161">
        <v>4</v>
      </c>
      <c r="K42" s="199">
        <f>$K$12*$G$28</f>
        <v>0.004285714285714286</v>
      </c>
      <c r="L42" s="199">
        <f>$K$12*$H$28</f>
        <v>0.12874098352501331</v>
      </c>
      <c r="M42" s="163" t="s">
        <v>393</v>
      </c>
    </row>
    <row r="43" spans="6:13" ht="12.75" thickBot="1">
      <c r="F43" s="161">
        <v>5</v>
      </c>
      <c r="G43" s="181">
        <f>$G$12*$C$29</f>
        <v>0.02333333333333333</v>
      </c>
      <c r="H43" s="199">
        <f>$G$12*$D$29</f>
        <v>0.10053591472642401</v>
      </c>
      <c r="I43" s="163" t="s">
        <v>379</v>
      </c>
      <c r="J43" s="161">
        <v>5</v>
      </c>
      <c r="K43" s="199">
        <f>$K$12*$G$29</f>
        <v>0.004285714285714286</v>
      </c>
      <c r="L43" s="199">
        <f>$K$12*$H$29</f>
        <v>0.16120202627015945</v>
      </c>
      <c r="M43" s="163" t="s">
        <v>272</v>
      </c>
    </row>
    <row r="44" spans="6:12" ht="13.5" thickBot="1">
      <c r="F44" s="161">
        <v>6</v>
      </c>
      <c r="G44" s="181">
        <f>$G$12*$C$30</f>
        <v>0.02333333333333333</v>
      </c>
      <c r="H44" s="199">
        <f>$G$12*$D$30</f>
        <v>0.10303158288964125</v>
      </c>
      <c r="J44" s="161">
        <v>6</v>
      </c>
      <c r="K44" s="199">
        <f>$K$12*$G$30</f>
        <v>0.004285714285714286</v>
      </c>
      <c r="L44" s="199">
        <f>$K$12*$H$30</f>
        <v>0.19420716966351625</v>
      </c>
    </row>
    <row r="45" spans="6:12" ht="13.5" thickBot="1">
      <c r="F45" s="161">
        <v>7</v>
      </c>
      <c r="G45" s="181">
        <f>$G$12*$C$31</f>
        <v>0.02333333333333333</v>
      </c>
      <c r="H45" s="199">
        <f>$G$12*$D$31</f>
        <v>0.10605822139202387</v>
      </c>
      <c r="J45" s="161">
        <v>7</v>
      </c>
      <c r="K45" s="199">
        <f>$K$12*$G$31</f>
        <v>0.004285714285714286</v>
      </c>
      <c r="L45" s="199">
        <f>$K$12*$H$31</f>
        <v>0.2241643322950371</v>
      </c>
    </row>
    <row r="46" spans="6:12" ht="12.75" thickBot="1">
      <c r="F46" s="161">
        <v>8</v>
      </c>
      <c r="G46" s="181">
        <f>$G$12*$C$32</f>
        <v>0.02333333333333333</v>
      </c>
      <c r="H46" s="199">
        <f>$G$12*$D$32</f>
        <v>0.10972163462279505</v>
      </c>
      <c r="J46" s="161">
        <v>8</v>
      </c>
      <c r="K46" s="199">
        <f>$K$12*$G$32</f>
        <v>0.004285714285714286</v>
      </c>
      <c r="L46" s="199">
        <f>$K$12*$H$32</f>
        <v>0.24821137103470836</v>
      </c>
    </row>
    <row r="47" spans="6:12" ht="12.75" thickBot="1">
      <c r="F47" s="161">
        <v>9</v>
      </c>
      <c r="G47" s="181">
        <f>$G$12*$C$33</f>
        <v>0.02333333333333333</v>
      </c>
      <c r="H47" s="199">
        <f>$G$12*$D$33</f>
        <v>0.11414529006017246</v>
      </c>
      <c r="J47" s="161">
        <v>9</v>
      </c>
      <c r="K47" s="199">
        <f>$K$12*$G$33</f>
        <v>0.004285714285714286</v>
      </c>
      <c r="L47" s="199">
        <f>$K$12*$H$33</f>
        <v>0.26534986774813213</v>
      </c>
    </row>
    <row r="48" spans="6:12" ht="12.75" thickBot="1">
      <c r="F48" s="161">
        <v>10</v>
      </c>
      <c r="G48" s="181">
        <f>$G$12*$C$34</f>
        <v>0.02333333333333333</v>
      </c>
      <c r="H48" s="199">
        <f>$G$12*$D$34</f>
        <v>0.11947162349792477</v>
      </c>
      <c r="J48" s="161">
        <v>10</v>
      </c>
      <c r="K48" s="199">
        <f>$K$12*G34</f>
        <v>0.004285714285714286</v>
      </c>
      <c r="L48" s="199">
        <f>$K$12*$H$34</f>
        <v>0.27638816681323186</v>
      </c>
    </row>
    <row r="49" spans="6:12" ht="12">
      <c r="F49" s="257"/>
      <c r="G49" s="173"/>
      <c r="H49" s="173"/>
      <c r="J49" s="257"/>
      <c r="K49" s="173"/>
      <c r="L49" s="173"/>
    </row>
    <row r="50" spans="6:12" ht="12">
      <c r="F50" s="257"/>
      <c r="G50" s="173"/>
      <c r="H50" s="173"/>
      <c r="J50" s="257"/>
      <c r="K50" s="173"/>
      <c r="L50" s="173"/>
    </row>
    <row r="130" ht="12.75" thickBot="1"/>
    <row r="131" spans="2:13" ht="12">
      <c r="B131" s="116" t="s">
        <v>235</v>
      </c>
      <c r="C131" s="216"/>
      <c r="D131" s="116" t="s">
        <v>236</v>
      </c>
      <c r="E131" s="216"/>
      <c r="F131" s="116" t="s">
        <v>237</v>
      </c>
      <c r="G131" s="216"/>
      <c r="H131" s="116" t="s">
        <v>238</v>
      </c>
      <c r="I131" s="216"/>
      <c r="J131" s="116" t="s">
        <v>239</v>
      </c>
      <c r="K131" s="216"/>
      <c r="L131" s="116" t="s">
        <v>240</v>
      </c>
      <c r="M131" s="216"/>
    </row>
    <row r="132" spans="2:13" s="217" customFormat="1" ht="12.75" thickBot="1">
      <c r="B132" s="268" t="s">
        <v>77</v>
      </c>
      <c r="C132" s="269" t="s">
        <v>78</v>
      </c>
      <c r="D132" s="268" t="s">
        <v>77</v>
      </c>
      <c r="E132" s="269" t="s">
        <v>78</v>
      </c>
      <c r="F132" s="268" t="s">
        <v>77</v>
      </c>
      <c r="G132" s="269" t="s">
        <v>78</v>
      </c>
      <c r="H132" s="268" t="s">
        <v>77</v>
      </c>
      <c r="I132" s="269" t="s">
        <v>78</v>
      </c>
      <c r="J132" s="268" t="s">
        <v>77</v>
      </c>
      <c r="K132" s="269" t="s">
        <v>78</v>
      </c>
      <c r="L132" s="268" t="s">
        <v>77</v>
      </c>
      <c r="M132" s="269" t="s">
        <v>78</v>
      </c>
    </row>
    <row r="133" spans="1:13" ht="12.75" thickBot="1">
      <c r="A133" s="163">
        <v>0</v>
      </c>
      <c r="B133" s="181">
        <f>$C$15</f>
        <v>0.05</v>
      </c>
      <c r="C133" s="181">
        <f aca="true" t="shared" si="9" ref="C133:C143">C24</f>
        <v>0.05</v>
      </c>
      <c r="D133" s="181">
        <f>$C$16</f>
        <v>0.2</v>
      </c>
      <c r="E133" s="181">
        <f aca="true" t="shared" si="10" ref="E133:E143">D24</f>
        <v>0.2</v>
      </c>
      <c r="F133" s="181">
        <f>$G$15</f>
        <v>0.01</v>
      </c>
      <c r="G133" s="181">
        <f aca="true" t="shared" si="11" ref="G133:G143">G24</f>
        <v>0.01</v>
      </c>
      <c r="H133" s="181">
        <f>$G$16</f>
        <v>0.1</v>
      </c>
      <c r="I133" s="181">
        <f aca="true" t="shared" si="12" ref="I133:I143">H24</f>
        <v>0.1</v>
      </c>
      <c r="J133" s="181">
        <f>$K$15</f>
        <v>0.005</v>
      </c>
      <c r="K133" s="181">
        <f aca="true" t="shared" si="13" ref="K133:K143">K24</f>
        <v>0.005</v>
      </c>
      <c r="L133" s="181">
        <f>$K$16</f>
        <v>0.05</v>
      </c>
      <c r="M133" s="181">
        <f aca="true" t="shared" si="14" ref="M133:M143">L24</f>
        <v>0.05</v>
      </c>
    </row>
    <row r="134" spans="1:13" ht="12.75" thickBot="1">
      <c r="A134" s="163">
        <v>1</v>
      </c>
      <c r="B134" s="181">
        <f aca="true" t="shared" si="15" ref="B134:B143">$C$15</f>
        <v>0.05</v>
      </c>
      <c r="C134" s="181">
        <f t="shared" si="9"/>
        <v>0.05</v>
      </c>
      <c r="D134" s="181">
        <f>D133+$C$9*D133*(1-D133/$C$10)-B133</f>
        <v>0.202</v>
      </c>
      <c r="E134" s="181">
        <f t="shared" si="10"/>
        <v>0.202</v>
      </c>
      <c r="F134" s="181">
        <f aca="true" t="shared" si="16" ref="F134:F143">$G$15</f>
        <v>0.01</v>
      </c>
      <c r="G134" s="181">
        <f t="shared" si="11"/>
        <v>0.01</v>
      </c>
      <c r="H134" s="181">
        <f aca="true" t="shared" si="17" ref="H134:H143">H133+$G$9*H133*(1-H133/$G$10)-F133</f>
        <v>0.13285714285714284</v>
      </c>
      <c r="I134" s="181">
        <f t="shared" si="12"/>
        <v>0.13285714285714284</v>
      </c>
      <c r="J134" s="181">
        <f aca="true" t="shared" si="18" ref="J134:J143">$K$15</f>
        <v>0.005</v>
      </c>
      <c r="K134" s="181">
        <f t="shared" si="13"/>
        <v>0.005</v>
      </c>
      <c r="L134" s="181">
        <f>L133+$C$9*L133*(1-L133/$C$10)-J133</f>
        <v>0.059500000000000004</v>
      </c>
      <c r="M134" s="181">
        <f t="shared" si="14"/>
        <v>0.06999999999999999</v>
      </c>
    </row>
    <row r="135" spans="1:13" ht="12.75" thickBot="1">
      <c r="A135" s="163">
        <v>2</v>
      </c>
      <c r="B135" s="181">
        <f t="shared" si="15"/>
        <v>0.05</v>
      </c>
      <c r="C135" s="181">
        <f t="shared" si="9"/>
        <v>0.05</v>
      </c>
      <c r="D135" s="181">
        <f aca="true" t="shared" si="19" ref="D135:D143">D134+$C$9*D134*(1-D134/$C$10)-B134</f>
        <v>0.20443920000000004</v>
      </c>
      <c r="E135" s="181">
        <f t="shared" si="10"/>
        <v>0.20443920000000004</v>
      </c>
      <c r="F135" s="181">
        <f t="shared" si="16"/>
        <v>0.01</v>
      </c>
      <c r="G135" s="181">
        <f t="shared" si="11"/>
        <v>0.01</v>
      </c>
      <c r="H135" s="181">
        <f t="shared" si="17"/>
        <v>0.17667784256559763</v>
      </c>
      <c r="I135" s="181">
        <f t="shared" si="12"/>
        <v>0.17667784256559763</v>
      </c>
      <c r="J135" s="181">
        <f t="shared" si="18"/>
        <v>0.005</v>
      </c>
      <c r="K135" s="181">
        <f t="shared" si="13"/>
        <v>0.005</v>
      </c>
      <c r="L135" s="181">
        <f aca="true" t="shared" si="20" ref="L135:L143">L134+$C$9*L134*(1-L134/$C$10)-J134</f>
        <v>0.07164195000000001</v>
      </c>
      <c r="M135" s="181">
        <f t="shared" si="14"/>
        <v>0.09719999999999998</v>
      </c>
    </row>
    <row r="136" spans="1:13" ht="12.75" thickBot="1">
      <c r="A136" s="163">
        <v>3</v>
      </c>
      <c r="B136" s="181">
        <f t="shared" si="15"/>
        <v>0.05</v>
      </c>
      <c r="C136" s="181">
        <f t="shared" si="9"/>
        <v>0.05</v>
      </c>
      <c r="D136" s="181">
        <f t="shared" si="19"/>
        <v>0.20741188270067207</v>
      </c>
      <c r="E136" s="181">
        <f t="shared" si="10"/>
        <v>0.20741188270067207</v>
      </c>
      <c r="F136" s="181">
        <f t="shared" si="16"/>
        <v>0.01</v>
      </c>
      <c r="G136" s="181">
        <f t="shared" si="11"/>
        <v>0.01</v>
      </c>
      <c r="H136" s="181">
        <f t="shared" si="17"/>
        <v>0.23272029238151493</v>
      </c>
      <c r="I136" s="181">
        <f t="shared" si="12"/>
        <v>0.23272029238151493</v>
      </c>
      <c r="J136" s="181">
        <f t="shared" si="18"/>
        <v>0.005</v>
      </c>
      <c r="K136" s="181">
        <f t="shared" si="13"/>
        <v>0.005</v>
      </c>
      <c r="L136" s="181">
        <f t="shared" si="20"/>
        <v>0.0871080212000395</v>
      </c>
      <c r="M136" s="181">
        <f t="shared" si="14"/>
        <v>0.13162431999999996</v>
      </c>
    </row>
    <row r="137" spans="1:13" ht="12.75" thickBot="1">
      <c r="A137" s="163">
        <v>4</v>
      </c>
      <c r="B137" s="181">
        <f t="shared" si="15"/>
        <v>0.05</v>
      </c>
      <c r="C137" s="181">
        <f t="shared" si="9"/>
        <v>0.05</v>
      </c>
      <c r="D137" s="181">
        <f t="shared" si="19"/>
        <v>0.2110315096937862</v>
      </c>
      <c r="E137" s="181">
        <f t="shared" si="10"/>
        <v>0.2110315096937862</v>
      </c>
      <c r="F137" s="181">
        <f t="shared" si="16"/>
        <v>0.01</v>
      </c>
      <c r="G137" s="181">
        <f t="shared" si="11"/>
        <v>0.01</v>
      </c>
      <c r="H137" s="181">
        <f t="shared" si="17"/>
        <v>0.3003956282250311</v>
      </c>
      <c r="I137" s="181">
        <f t="shared" si="12"/>
        <v>0.3003956282250311</v>
      </c>
      <c r="J137" s="181">
        <f t="shared" si="18"/>
        <v>0.005</v>
      </c>
      <c r="K137" s="181">
        <f t="shared" si="13"/>
        <v>0.005</v>
      </c>
      <c r="L137" s="181">
        <f t="shared" si="20"/>
        <v>0.10672286608857404</v>
      </c>
      <c r="M137" s="181">
        <f t="shared" si="14"/>
        <v>0.17094898876907516</v>
      </c>
    </row>
    <row r="138" spans="1:13" ht="12.75" thickBot="1">
      <c r="A138" s="163">
        <v>5</v>
      </c>
      <c r="B138" s="181">
        <f t="shared" si="15"/>
        <v>0.05</v>
      </c>
      <c r="C138" s="181">
        <f t="shared" si="9"/>
        <v>0.05</v>
      </c>
      <c r="D138" s="181">
        <f t="shared" si="19"/>
        <v>0.21543410298519433</v>
      </c>
      <c r="E138" s="181">
        <f t="shared" si="10"/>
        <v>0.21543410298519433</v>
      </c>
      <c r="F138" s="181">
        <f t="shared" si="16"/>
        <v>0.01</v>
      </c>
      <c r="G138" s="181">
        <f t="shared" si="11"/>
        <v>0.01</v>
      </c>
      <c r="H138" s="181">
        <f t="shared" si="17"/>
        <v>0.3761380612970387</v>
      </c>
      <c r="I138" s="181">
        <f t="shared" si="12"/>
        <v>0.3761380612970387</v>
      </c>
      <c r="J138" s="181">
        <f t="shared" si="18"/>
        <v>0.005</v>
      </c>
      <c r="K138" s="181">
        <f t="shared" si="13"/>
        <v>0.005</v>
      </c>
      <c r="L138" s="181">
        <f t="shared" si="20"/>
        <v>0.1314617718859143</v>
      </c>
      <c r="M138" s="181">
        <f t="shared" si="14"/>
        <v>0.21007126850818147</v>
      </c>
    </row>
    <row r="139" spans="1:13" ht="12.75" thickBot="1">
      <c r="A139" s="163">
        <v>6</v>
      </c>
      <c r="B139" s="181">
        <f t="shared" si="15"/>
        <v>0.05</v>
      </c>
      <c r="C139" s="181">
        <f t="shared" si="9"/>
        <v>0.05</v>
      </c>
      <c r="D139" s="181">
        <f t="shared" si="19"/>
        <v>0.22078196333494554</v>
      </c>
      <c r="E139" s="181">
        <f t="shared" si="10"/>
        <v>0.22078196333494554</v>
      </c>
      <c r="F139" s="181">
        <f t="shared" si="16"/>
        <v>0.01</v>
      </c>
      <c r="G139" s="181">
        <f t="shared" si="11"/>
        <v>0.01</v>
      </c>
      <c r="H139" s="181">
        <f t="shared" si="17"/>
        <v>0.45315006254820456</v>
      </c>
      <c r="I139" s="181">
        <f t="shared" si="12"/>
        <v>0.45315006254820456</v>
      </c>
      <c r="J139" s="181">
        <f t="shared" si="18"/>
        <v>0.005</v>
      </c>
      <c r="K139" s="181">
        <f t="shared" si="13"/>
        <v>0.005</v>
      </c>
      <c r="L139" s="181">
        <f t="shared" si="20"/>
        <v>0.16244386395821175</v>
      </c>
      <c r="M139" s="181">
        <f t="shared" si="14"/>
        <v>0.2428541539078174</v>
      </c>
    </row>
    <row r="140" spans="1:13" ht="12.75" thickBot="1">
      <c r="A140" s="163">
        <v>7</v>
      </c>
      <c r="B140" s="181">
        <f t="shared" si="15"/>
        <v>0.05</v>
      </c>
      <c r="C140" s="181">
        <f t="shared" si="9"/>
        <v>0.05</v>
      </c>
      <c r="D140" s="181">
        <f t="shared" si="19"/>
        <v>0.2272676172686226</v>
      </c>
      <c r="E140" s="181">
        <f t="shared" si="10"/>
        <v>0.2272676172686226</v>
      </c>
      <c r="F140" s="181">
        <f t="shared" si="16"/>
        <v>0.01</v>
      </c>
      <c r="G140" s="181">
        <f t="shared" si="11"/>
        <v>0.01</v>
      </c>
      <c r="H140" s="181">
        <f t="shared" si="17"/>
        <v>0.5230501086884198</v>
      </c>
      <c r="I140" s="181">
        <f t="shared" si="12"/>
        <v>0.5230501086884198</v>
      </c>
      <c r="J140" s="181">
        <f t="shared" si="18"/>
        <v>0.005</v>
      </c>
      <c r="K140" s="181">
        <f t="shared" si="13"/>
        <v>0.005</v>
      </c>
      <c r="L140" s="181">
        <f t="shared" si="20"/>
        <v>0.20089942135814048</v>
      </c>
      <c r="M140" s="181">
        <f t="shared" si="14"/>
        <v>0.2656103661119441</v>
      </c>
    </row>
    <row r="141" spans="1:13" ht="12.75" thickBot="1">
      <c r="A141" s="163">
        <v>8</v>
      </c>
      <c r="B141" s="181">
        <f t="shared" si="15"/>
        <v>0.05</v>
      </c>
      <c r="C141" s="181">
        <f t="shared" si="9"/>
        <v>0.05</v>
      </c>
      <c r="D141" s="181">
        <f t="shared" si="19"/>
        <v>0.235117788477418</v>
      </c>
      <c r="E141" s="181">
        <f t="shared" si="10"/>
        <v>0.235117788477418</v>
      </c>
      <c r="F141" s="181">
        <f t="shared" si="16"/>
        <v>0.01</v>
      </c>
      <c r="G141" s="181">
        <f t="shared" si="11"/>
        <v>0.01</v>
      </c>
      <c r="H141" s="181">
        <f t="shared" si="17"/>
        <v>0.5791598657476528</v>
      </c>
      <c r="I141" s="181">
        <f t="shared" si="12"/>
        <v>0.5791598657476528</v>
      </c>
      <c r="J141" s="181">
        <f t="shared" si="18"/>
        <v>0.005</v>
      </c>
      <c r="K141" s="181">
        <f t="shared" si="13"/>
        <v>0.005</v>
      </c>
      <c r="L141" s="181">
        <f t="shared" si="20"/>
        <v>0.2480971322651755</v>
      </c>
      <c r="M141" s="181">
        <f t="shared" si="14"/>
        <v>0.27887885260686857</v>
      </c>
    </row>
    <row r="142" spans="1:13" ht="12.75" thickBot="1">
      <c r="A142" s="163">
        <v>9</v>
      </c>
      <c r="B142" s="181">
        <f t="shared" si="15"/>
        <v>0.05</v>
      </c>
      <c r="C142" s="181">
        <f t="shared" si="9"/>
        <v>0.05</v>
      </c>
      <c r="D142" s="181">
        <f t="shared" si="19"/>
        <v>0.244597050128941</v>
      </c>
      <c r="E142" s="181">
        <f t="shared" si="10"/>
        <v>0.244597050128941</v>
      </c>
      <c r="F142" s="181">
        <f t="shared" si="16"/>
        <v>0.01</v>
      </c>
      <c r="G142" s="181">
        <f t="shared" si="11"/>
        <v>0.01</v>
      </c>
      <c r="H142" s="181">
        <f t="shared" si="17"/>
        <v>0.6191496914123082</v>
      </c>
      <c r="I142" s="181">
        <f t="shared" si="12"/>
        <v>0.6191496914123082</v>
      </c>
      <c r="J142" s="181">
        <f t="shared" si="18"/>
        <v>0.005</v>
      </c>
      <c r="K142" s="181">
        <f t="shared" si="13"/>
        <v>0.005</v>
      </c>
      <c r="L142" s="181">
        <f t="shared" si="20"/>
        <v>0.30521583453708734</v>
      </c>
      <c r="M142" s="181">
        <f t="shared" si="14"/>
        <v>0.28565933530834264</v>
      </c>
    </row>
    <row r="143" spans="1:13" ht="12.75" thickBot="1">
      <c r="A143" s="163">
        <v>10</v>
      </c>
      <c r="B143" s="181">
        <f t="shared" si="15"/>
        <v>0.05</v>
      </c>
      <c r="C143" s="181">
        <f t="shared" si="9"/>
        <v>0.05</v>
      </c>
      <c r="D143" s="181">
        <f t="shared" si="19"/>
        <v>0.2560106217812674</v>
      </c>
      <c r="E143" s="181">
        <f t="shared" si="10"/>
        <v>0.2560106217812674</v>
      </c>
      <c r="F143" s="181">
        <f t="shared" si="16"/>
        <v>0.01</v>
      </c>
      <c r="G143" s="181">
        <f t="shared" si="11"/>
        <v>0.01</v>
      </c>
      <c r="H143" s="181">
        <f t="shared" si="17"/>
        <v>0.6449057225642076</v>
      </c>
      <c r="I143" s="181">
        <f t="shared" si="12"/>
        <v>0.6449057225642076</v>
      </c>
      <c r="J143" s="181">
        <f t="shared" si="18"/>
        <v>0.005</v>
      </c>
      <c r="K143" s="181">
        <f t="shared" si="13"/>
        <v>0.005</v>
      </c>
      <c r="L143" s="181">
        <f t="shared" si="20"/>
        <v>0.3731492437677794</v>
      </c>
      <c r="M143" s="181">
        <f t="shared" si="14"/>
        <v>0.28885242479573997</v>
      </c>
    </row>
    <row r="145" spans="3:10" ht="12.75" thickBot="1">
      <c r="C145" s="217" t="s">
        <v>305</v>
      </c>
      <c r="J145" s="217" t="s">
        <v>306</v>
      </c>
    </row>
    <row r="146" spans="2:12" ht="12.75" thickBot="1">
      <c r="B146" s="179" t="s">
        <v>302</v>
      </c>
      <c r="C146" s="179" t="s">
        <v>303</v>
      </c>
      <c r="D146" s="179" t="s">
        <v>304</v>
      </c>
      <c r="E146" s="179" t="s">
        <v>307</v>
      </c>
      <c r="F146" s="179" t="s">
        <v>308</v>
      </c>
      <c r="I146" s="179" t="s">
        <v>302</v>
      </c>
      <c r="J146" s="179" t="s">
        <v>303</v>
      </c>
      <c r="K146" s="179" t="s">
        <v>304</v>
      </c>
      <c r="L146" s="179" t="s">
        <v>308</v>
      </c>
    </row>
    <row r="147" spans="2:12" ht="12.75" thickBot="1">
      <c r="B147" s="181">
        <f aca="true" t="shared" si="21" ref="B147:B157">D133</f>
        <v>0.2</v>
      </c>
      <c r="C147" s="181">
        <f aca="true" t="shared" si="22" ref="C147:C157">H133</f>
        <v>0.1</v>
      </c>
      <c r="D147" s="181">
        <f aca="true" t="shared" si="23" ref="D147:D157">L133</f>
        <v>0.05</v>
      </c>
      <c r="E147" s="181">
        <f>(1/(COUNT(B147:D147)))*(1-PRODUCT(B147:D147)/(AVERAGE(B147:D147)))</f>
        <v>0.3304761904761905</v>
      </c>
      <c r="F147" s="181">
        <f>L147</f>
        <v>0.3304761904761905</v>
      </c>
      <c r="I147" s="181">
        <f aca="true" t="shared" si="24" ref="I147:I157">E133</f>
        <v>0.2</v>
      </c>
      <c r="J147" s="181">
        <f aca="true" t="shared" si="25" ref="J147:J157">I133</f>
        <v>0.1</v>
      </c>
      <c r="K147" s="181">
        <f aca="true" t="shared" si="26" ref="K147:K157">M133</f>
        <v>0.05</v>
      </c>
      <c r="L147" s="181">
        <f>(1/(COUNT(I147:K147)))*(1-PRODUCT(I147:K147)/(AVERAGE(I147:K147)))</f>
        <v>0.3304761904761905</v>
      </c>
    </row>
    <row r="148" spans="2:12" ht="12.75" thickBot="1">
      <c r="B148" s="181">
        <f t="shared" si="21"/>
        <v>0.202</v>
      </c>
      <c r="C148" s="181">
        <f t="shared" si="22"/>
        <v>0.13285714285714284</v>
      </c>
      <c r="D148" s="181">
        <f t="shared" si="23"/>
        <v>0.059500000000000004</v>
      </c>
      <c r="E148" s="181">
        <f aca="true" t="shared" si="27" ref="E148:E157">(1/(COUNT(B148:D148)))*(1-PRODUCT(B148:D148)/(AVERAGE(B148:D148)))</f>
        <v>0.3292841864396546</v>
      </c>
      <c r="F148" s="181">
        <f aca="true" t="shared" si="28" ref="F148:F157">L148</f>
        <v>0.3286931780757469</v>
      </c>
      <c r="I148" s="181">
        <f t="shared" si="24"/>
        <v>0.202</v>
      </c>
      <c r="J148" s="181">
        <f t="shared" si="25"/>
        <v>0.13285714285714284</v>
      </c>
      <c r="K148" s="181">
        <f t="shared" si="26"/>
        <v>0.06999999999999999</v>
      </c>
      <c r="L148" s="181">
        <f aca="true" t="shared" si="29" ref="L148:L157">(1/(COUNT(I148:K148)))*(1-PRODUCT(I148:K148)/(AVERAGE(I148:K148)))</f>
        <v>0.3286931780757469</v>
      </c>
    </row>
    <row r="149" spans="2:12" ht="12.75" thickBot="1">
      <c r="B149" s="181">
        <f t="shared" si="21"/>
        <v>0.20443920000000004</v>
      </c>
      <c r="C149" s="181">
        <f t="shared" si="22"/>
        <v>0.17667784256559763</v>
      </c>
      <c r="D149" s="181">
        <f t="shared" si="23"/>
        <v>0.07164195000000001</v>
      </c>
      <c r="E149" s="181">
        <f t="shared" si="27"/>
        <v>0.3276179340820374</v>
      </c>
      <c r="F149" s="181">
        <f t="shared" si="28"/>
        <v>0.32599332302273465</v>
      </c>
      <c r="I149" s="181">
        <f t="shared" si="24"/>
        <v>0.20443920000000004</v>
      </c>
      <c r="J149" s="181">
        <f t="shared" si="25"/>
        <v>0.17667784256559763</v>
      </c>
      <c r="K149" s="181">
        <f t="shared" si="26"/>
        <v>0.09719999999999998</v>
      </c>
      <c r="L149" s="181">
        <f t="shared" si="29"/>
        <v>0.32599332302273465</v>
      </c>
    </row>
    <row r="150" spans="2:12" ht="12.75" thickBot="1">
      <c r="B150" s="181">
        <f t="shared" si="21"/>
        <v>0.20741188270067207</v>
      </c>
      <c r="C150" s="181">
        <f t="shared" si="22"/>
        <v>0.23272029238151493</v>
      </c>
      <c r="D150" s="181">
        <f t="shared" si="23"/>
        <v>0.0871080212000395</v>
      </c>
      <c r="E150" s="181">
        <f t="shared" si="27"/>
        <v>0.32535857515533195</v>
      </c>
      <c r="F150" s="181">
        <f t="shared" si="28"/>
        <v>0.3222213157172683</v>
      </c>
      <c r="I150" s="181">
        <f t="shared" si="24"/>
        <v>0.20741188270067207</v>
      </c>
      <c r="J150" s="181">
        <f t="shared" si="25"/>
        <v>0.23272029238151493</v>
      </c>
      <c r="K150" s="181">
        <f t="shared" si="26"/>
        <v>0.13162431999999996</v>
      </c>
      <c r="L150" s="181">
        <f t="shared" si="29"/>
        <v>0.3222213157172683</v>
      </c>
    </row>
    <row r="151" spans="2:12" ht="12.75" thickBot="1">
      <c r="B151" s="181">
        <f t="shared" si="21"/>
        <v>0.2110315096937862</v>
      </c>
      <c r="C151" s="181">
        <f t="shared" si="22"/>
        <v>0.3003956282250311</v>
      </c>
      <c r="D151" s="181">
        <f t="shared" si="23"/>
        <v>0.10672286608857404</v>
      </c>
      <c r="E151" s="181">
        <f t="shared" si="27"/>
        <v>0.3223886168156731</v>
      </c>
      <c r="F151" s="181">
        <f t="shared" si="28"/>
        <v>0.31745212198214595</v>
      </c>
      <c r="I151" s="181">
        <f t="shared" si="24"/>
        <v>0.2110315096937862</v>
      </c>
      <c r="J151" s="181">
        <f t="shared" si="25"/>
        <v>0.3003956282250311</v>
      </c>
      <c r="K151" s="181">
        <f t="shared" si="26"/>
        <v>0.17094898876907516</v>
      </c>
      <c r="L151" s="181">
        <f t="shared" si="29"/>
        <v>0.31745212198214595</v>
      </c>
    </row>
    <row r="152" spans="2:12" ht="12.75" thickBot="1">
      <c r="B152" s="181">
        <f t="shared" si="21"/>
        <v>0.21543410298519433</v>
      </c>
      <c r="C152" s="181">
        <f t="shared" si="22"/>
        <v>0.3761380612970387</v>
      </c>
      <c r="D152" s="181">
        <f t="shared" si="23"/>
        <v>0.1314617718859143</v>
      </c>
      <c r="E152" s="181">
        <f t="shared" si="27"/>
        <v>0.3185999484438494</v>
      </c>
      <c r="F152" s="181">
        <f t="shared" si="28"/>
        <v>0.31209858328430035</v>
      </c>
      <c r="I152" s="181">
        <f t="shared" si="24"/>
        <v>0.21543410298519433</v>
      </c>
      <c r="J152" s="181">
        <f t="shared" si="25"/>
        <v>0.3761380612970387</v>
      </c>
      <c r="K152" s="181">
        <f t="shared" si="26"/>
        <v>0.21007126850818147</v>
      </c>
      <c r="L152" s="181">
        <f t="shared" si="29"/>
        <v>0.31209858328430035</v>
      </c>
    </row>
    <row r="153" spans="2:12" ht="12.75" thickBot="1">
      <c r="B153" s="181">
        <f t="shared" si="21"/>
        <v>0.22078196333494554</v>
      </c>
      <c r="C153" s="181">
        <f t="shared" si="22"/>
        <v>0.45315006254820456</v>
      </c>
      <c r="D153" s="181">
        <f t="shared" si="23"/>
        <v>0.16244386395821175</v>
      </c>
      <c r="E153" s="181">
        <f t="shared" si="27"/>
        <v>0.3139017834584687</v>
      </c>
      <c r="F153" s="181">
        <f t="shared" si="28"/>
        <v>0.30683106091775025</v>
      </c>
      <c r="I153" s="181">
        <f t="shared" si="24"/>
        <v>0.22078196333494554</v>
      </c>
      <c r="J153" s="181">
        <f t="shared" si="25"/>
        <v>0.45315006254820456</v>
      </c>
      <c r="K153" s="181">
        <f t="shared" si="26"/>
        <v>0.2428541539078174</v>
      </c>
      <c r="L153" s="181">
        <f t="shared" si="29"/>
        <v>0.30683106091775025</v>
      </c>
    </row>
    <row r="154" spans="2:12" ht="12.75" thickBot="1">
      <c r="B154" s="181">
        <f t="shared" si="21"/>
        <v>0.2272676172686226</v>
      </c>
      <c r="C154" s="181">
        <f t="shared" si="22"/>
        <v>0.5230501086884198</v>
      </c>
      <c r="D154" s="181">
        <f t="shared" si="23"/>
        <v>0.20089942135814048</v>
      </c>
      <c r="E154" s="181">
        <f t="shared" si="27"/>
        <v>0.3082271977024196</v>
      </c>
      <c r="F154" s="181">
        <f t="shared" si="28"/>
        <v>0.30225462888675453</v>
      </c>
      <c r="I154" s="181">
        <f t="shared" si="24"/>
        <v>0.2272676172686226</v>
      </c>
      <c r="J154" s="181">
        <f t="shared" si="25"/>
        <v>0.5230501086884198</v>
      </c>
      <c r="K154" s="181">
        <f t="shared" si="26"/>
        <v>0.2656103661119441</v>
      </c>
      <c r="L154" s="181">
        <f t="shared" si="29"/>
        <v>0.30225462888675453</v>
      </c>
    </row>
    <row r="155" spans="2:12" ht="12.75" thickBot="1">
      <c r="B155" s="181">
        <f t="shared" si="21"/>
        <v>0.235117788477418</v>
      </c>
      <c r="C155" s="181">
        <f t="shared" si="22"/>
        <v>0.5791598657476528</v>
      </c>
      <c r="D155" s="181">
        <f t="shared" si="23"/>
        <v>0.2480971322651755</v>
      </c>
      <c r="E155" s="181">
        <f t="shared" si="27"/>
        <v>0.301533273565978</v>
      </c>
      <c r="F155" s="181">
        <f t="shared" si="28"/>
        <v>0.2985943434936682</v>
      </c>
      <c r="I155" s="181">
        <f t="shared" si="24"/>
        <v>0.235117788477418</v>
      </c>
      <c r="J155" s="181">
        <f t="shared" si="25"/>
        <v>0.5791598657476528</v>
      </c>
      <c r="K155" s="181">
        <f t="shared" si="26"/>
        <v>0.27887885260686857</v>
      </c>
      <c r="L155" s="181">
        <f t="shared" si="29"/>
        <v>0.2985943434936682</v>
      </c>
    </row>
    <row r="156" spans="2:12" ht="12.75" thickBot="1">
      <c r="B156" s="181">
        <f t="shared" si="21"/>
        <v>0.244597050128941</v>
      </c>
      <c r="C156" s="181">
        <f t="shared" si="22"/>
        <v>0.6191496914123082</v>
      </c>
      <c r="D156" s="181">
        <f t="shared" si="23"/>
        <v>0.30521583453708734</v>
      </c>
      <c r="E156" s="181">
        <f t="shared" si="27"/>
        <v>0.29379181611686167</v>
      </c>
      <c r="F156" s="181">
        <f t="shared" si="28"/>
        <v>0.29569574322152636</v>
      </c>
      <c r="I156" s="181">
        <f t="shared" si="24"/>
        <v>0.244597050128941</v>
      </c>
      <c r="J156" s="181">
        <f t="shared" si="25"/>
        <v>0.6191496914123082</v>
      </c>
      <c r="K156" s="181">
        <f t="shared" si="26"/>
        <v>0.28565933530834264</v>
      </c>
      <c r="L156" s="181">
        <f t="shared" si="29"/>
        <v>0.29569574322152636</v>
      </c>
    </row>
    <row r="157" spans="2:12" ht="12.75" thickBot="1">
      <c r="B157" s="181">
        <f t="shared" si="21"/>
        <v>0.2560106217812674</v>
      </c>
      <c r="C157" s="181">
        <f t="shared" si="22"/>
        <v>0.6449057225642076</v>
      </c>
      <c r="D157" s="181">
        <f t="shared" si="23"/>
        <v>0.3731492437677794</v>
      </c>
      <c r="E157" s="181">
        <f t="shared" si="27"/>
        <v>0.2849779316727074</v>
      </c>
      <c r="F157" s="181">
        <f t="shared" si="28"/>
        <v>0.2932496458034831</v>
      </c>
      <c r="I157" s="181">
        <f t="shared" si="24"/>
        <v>0.2560106217812674</v>
      </c>
      <c r="J157" s="181">
        <f t="shared" si="25"/>
        <v>0.6449057225642076</v>
      </c>
      <c r="K157" s="181">
        <f t="shared" si="26"/>
        <v>0.28885242479573997</v>
      </c>
      <c r="L157" s="181">
        <f t="shared" si="29"/>
        <v>0.2932496458034831</v>
      </c>
    </row>
  </sheetData>
  <printOptions/>
  <pageMargins left="0.3" right="0.3" top="0.7" bottom="0.7" header="0.5" footer="0.5"/>
  <pageSetup orientation="landscape" paperSize="9" scale="80"/>
  <headerFooter alignWithMargins="0">
    <oddHeader>&amp;LPLB&amp;COptimalBiodiversityPricing.xls&amp;R&amp;D, &amp;T</oddHeader>
    <oddFooter>&amp;L&amp;C- &amp;P -&amp;R</oddFooter>
  </headerFooter>
  <drawing r:id="rId5"/>
  <legacyDrawing r:id="rId4"/>
  <oleObjects>
    <oleObject progId="Equation.3" shapeId="3656377" r:id="rId1"/>
    <oleObject progId="Equation.3" shapeId="3719316" r:id="rId2"/>
    <oleObject progId="Equation.3" shapeId="549574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C9" sqref="C9"/>
    </sheetView>
  </sheetViews>
  <sheetFormatPr defaultColWidth="11.421875" defaultRowHeight="12"/>
  <cols>
    <col min="1" max="1" width="8.57421875" style="0" customWidth="1"/>
    <col min="5" max="5" width="13.421875" style="0" customWidth="1"/>
    <col min="12" max="12" width="7.8515625" style="0" customWidth="1"/>
    <col min="13" max="13" width="4.57421875" style="0" customWidth="1"/>
    <col min="14" max="14" width="4.421875" style="0" customWidth="1"/>
  </cols>
  <sheetData>
    <row r="1" spans="1:13" ht="13.5" thickBot="1">
      <c r="A1" s="45" t="s">
        <v>417</v>
      </c>
      <c r="B1" s="215">
        <v>10</v>
      </c>
      <c r="C1" s="1"/>
      <c r="D1" s="8"/>
      <c r="E1" s="2"/>
      <c r="F1" s="2"/>
      <c r="G1" s="2"/>
      <c r="H1" s="3" t="s">
        <v>50</v>
      </c>
      <c r="I1" s="2"/>
      <c r="J1" s="2"/>
      <c r="K1" s="2"/>
      <c r="L1" s="9"/>
      <c r="M1" s="1"/>
    </row>
    <row r="2" spans="1:13" ht="13.5" thickBot="1">
      <c r="A2" s="45" t="s">
        <v>418</v>
      </c>
      <c r="B2" s="215">
        <v>1</v>
      </c>
      <c r="C2" s="1"/>
      <c r="D2" s="218" t="s">
        <v>137</v>
      </c>
      <c r="E2" s="1"/>
      <c r="F2" s="119" t="s">
        <v>51</v>
      </c>
      <c r="G2" s="1"/>
      <c r="H2" s="1"/>
      <c r="I2" s="1"/>
      <c r="J2" s="1"/>
      <c r="K2" s="231" t="s">
        <v>210</v>
      </c>
      <c r="L2" s="1"/>
      <c r="M2" s="1"/>
    </row>
    <row r="3" spans="1:13" ht="13.5" thickBot="1">
      <c r="A3" s="45" t="s">
        <v>419</v>
      </c>
      <c r="B3" s="215">
        <v>0.5</v>
      </c>
      <c r="C3" s="242" t="s">
        <v>74</v>
      </c>
      <c r="D3" s="138">
        <v>0.05</v>
      </c>
      <c r="E3" s="248"/>
      <c r="F3" s="249" t="s">
        <v>52</v>
      </c>
      <c r="G3" s="252">
        <f>B4*(B3-B5)/(2*B3)</f>
        <v>0.45</v>
      </c>
      <c r="H3" s="163" t="s">
        <v>321</v>
      </c>
      <c r="I3" s="163"/>
      <c r="J3" s="163"/>
      <c r="K3" s="163"/>
      <c r="L3" s="1"/>
      <c r="M3" s="1"/>
    </row>
    <row r="4" spans="1:13" ht="15" thickBot="1">
      <c r="A4" s="45" t="s">
        <v>420</v>
      </c>
      <c r="B4" s="215">
        <v>1</v>
      </c>
      <c r="C4" s="242" t="s">
        <v>79</v>
      </c>
      <c r="D4" s="138">
        <v>0.2</v>
      </c>
      <c r="E4" s="248"/>
      <c r="F4" s="249" t="s">
        <v>53</v>
      </c>
      <c r="G4" s="184">
        <f>B4*((B3^2)-(B5^2))/(4*B3)</f>
        <v>0.12375</v>
      </c>
      <c r="H4" s="1"/>
      <c r="I4" s="114" t="s">
        <v>184</v>
      </c>
      <c r="J4" s="138">
        <f>1/(1+$B$9)</f>
        <v>0.9523809523809523</v>
      </c>
      <c r="K4" s="163" t="s">
        <v>55</v>
      </c>
      <c r="L4" s="1"/>
      <c r="M4" s="1"/>
    </row>
    <row r="5" spans="1:13" ht="15" thickBot="1">
      <c r="A5" s="114" t="s">
        <v>421</v>
      </c>
      <c r="B5" s="215">
        <v>0.05</v>
      </c>
      <c r="C5" s="48"/>
      <c r="D5" s="50"/>
      <c r="E5" s="250"/>
      <c r="F5" s="251" t="s">
        <v>54</v>
      </c>
      <c r="G5" s="184">
        <f>(1+B5)*(B1-B2*((B3^2)-(B5^2))/(4*B3))</f>
        <v>10.370062500000001</v>
      </c>
      <c r="H5" s="1"/>
      <c r="I5" s="1"/>
      <c r="J5" s="1"/>
      <c r="K5" s="1"/>
      <c r="L5" s="1"/>
      <c r="M5" s="1"/>
    </row>
    <row r="6" spans="1:13" ht="15" thickBot="1">
      <c r="A6" s="114" t="s">
        <v>422</v>
      </c>
      <c r="B6" s="216">
        <f>1/(1+B5)</f>
        <v>0.9523809523809523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 thickBot="1">
      <c r="A7" s="47"/>
      <c r="B7" s="179" t="s">
        <v>75</v>
      </c>
      <c r="C7" s="179" t="s">
        <v>76</v>
      </c>
      <c r="D7" s="180" t="s">
        <v>185</v>
      </c>
      <c r="E7" s="163" t="s">
        <v>57</v>
      </c>
      <c r="F7" s="1"/>
      <c r="G7" s="163" t="s">
        <v>58</v>
      </c>
      <c r="H7" s="1"/>
      <c r="I7" s="1"/>
      <c r="J7" s="1"/>
      <c r="K7" s="1"/>
      <c r="L7" s="1"/>
      <c r="M7" s="1"/>
    </row>
    <row r="8" spans="1:13" ht="13.5" thickBot="1">
      <c r="A8" s="137" t="s">
        <v>18</v>
      </c>
      <c r="B8" s="137" t="s">
        <v>423</v>
      </c>
      <c r="C8" s="137" t="s">
        <v>424</v>
      </c>
      <c r="D8" s="137" t="s">
        <v>313</v>
      </c>
      <c r="E8" s="12" t="s">
        <v>77</v>
      </c>
      <c r="F8" s="12" t="s">
        <v>78</v>
      </c>
      <c r="G8" s="12" t="s">
        <v>77</v>
      </c>
      <c r="H8" s="12" t="s">
        <v>78</v>
      </c>
      <c r="J8" s="1"/>
      <c r="K8" s="1"/>
      <c r="L8" s="1"/>
      <c r="M8" s="1"/>
    </row>
    <row r="9" spans="1:13" ht="13.5" thickBot="1">
      <c r="A9" s="161">
        <v>0</v>
      </c>
      <c r="B9" s="138">
        <v>0.05</v>
      </c>
      <c r="C9" s="181">
        <f>$D$4</f>
        <v>0.2</v>
      </c>
      <c r="D9" s="181">
        <f aca="true" t="shared" si="0" ref="D9:D18">($B$6^A9)*($B$1*B9-($B$2/2)*B9^2)</f>
        <v>0.49875</v>
      </c>
      <c r="E9" s="217">
        <f aca="true" t="shared" si="1" ref="E9:E18">$D$3</f>
        <v>0.05</v>
      </c>
      <c r="F9" s="217">
        <f aca="true" t="shared" si="2" ref="F9:F18">B9</f>
        <v>0.05</v>
      </c>
      <c r="G9" s="203">
        <v>0.2</v>
      </c>
      <c r="H9" s="203">
        <f aca="true" t="shared" si="3" ref="H9:H19">C9</f>
        <v>0.2</v>
      </c>
      <c r="J9" s="1"/>
      <c r="K9" s="1"/>
      <c r="L9" s="1"/>
      <c r="M9" s="1"/>
    </row>
    <row r="10" spans="1:13" ht="13.5" thickBot="1">
      <c r="A10" s="161">
        <f aca="true" t="shared" si="4" ref="A10:A19">A9+1</f>
        <v>1</v>
      </c>
      <c r="B10" s="138">
        <v>0.05</v>
      </c>
      <c r="C10" s="181">
        <f>C9+$B$3*C9*(1-C9/$B$4)-B9</f>
        <v>0.23000000000000004</v>
      </c>
      <c r="D10" s="181">
        <f t="shared" si="0"/>
        <v>0.475</v>
      </c>
      <c r="E10" s="217">
        <f t="shared" si="1"/>
        <v>0.05</v>
      </c>
      <c r="F10" s="217">
        <f t="shared" si="2"/>
        <v>0.05</v>
      </c>
      <c r="G10" s="173">
        <v>0.23</v>
      </c>
      <c r="H10" s="203">
        <f t="shared" si="3"/>
        <v>0.23000000000000004</v>
      </c>
      <c r="J10" s="1"/>
      <c r="K10" s="1"/>
      <c r="L10" s="1"/>
      <c r="M10" s="1"/>
    </row>
    <row r="11" spans="1:13" ht="13.5" thickBot="1">
      <c r="A11" s="161">
        <f t="shared" si="4"/>
        <v>2</v>
      </c>
      <c r="B11" s="138">
        <v>0.05</v>
      </c>
      <c r="C11" s="181">
        <f aca="true" t="shared" si="5" ref="C11:C19">C10+$B$3*C10*(1-C10/$B$4)-B10</f>
        <v>0.26855000000000007</v>
      </c>
      <c r="D11" s="181">
        <f t="shared" si="0"/>
        <v>0.4523809523809524</v>
      </c>
      <c r="E11" s="217">
        <f t="shared" si="1"/>
        <v>0.05</v>
      </c>
      <c r="F11" s="217">
        <f t="shared" si="2"/>
        <v>0.05</v>
      </c>
      <c r="G11" s="173">
        <v>0.26855000000000007</v>
      </c>
      <c r="H11" s="203">
        <f t="shared" si="3"/>
        <v>0.26855000000000007</v>
      </c>
      <c r="J11" s="1"/>
      <c r="K11" s="1"/>
      <c r="L11" s="1"/>
      <c r="M11" s="1"/>
    </row>
    <row r="12" spans="1:13" ht="13.5" thickBot="1">
      <c r="A12" s="161">
        <f t="shared" si="4"/>
        <v>3</v>
      </c>
      <c r="B12" s="138">
        <v>0.05</v>
      </c>
      <c r="C12" s="181">
        <f t="shared" si="5"/>
        <v>0.31676544875000007</v>
      </c>
      <c r="D12" s="181">
        <f t="shared" si="0"/>
        <v>0.4308390022675737</v>
      </c>
      <c r="E12" s="217">
        <f t="shared" si="1"/>
        <v>0.05</v>
      </c>
      <c r="F12" s="217">
        <f t="shared" si="2"/>
        <v>0.05</v>
      </c>
      <c r="G12" s="173">
        <v>0.31676544875000007</v>
      </c>
      <c r="H12" s="203">
        <f t="shared" si="3"/>
        <v>0.31676544875000007</v>
      </c>
      <c r="J12" s="1"/>
      <c r="K12" s="1"/>
      <c r="L12" s="1"/>
      <c r="M12" s="1"/>
    </row>
    <row r="13" spans="1:13" ht="13.5" thickBot="1">
      <c r="A13" s="161">
        <f t="shared" si="4"/>
        <v>4</v>
      </c>
      <c r="B13" s="138">
        <v>0.05</v>
      </c>
      <c r="C13" s="181">
        <f t="shared" si="5"/>
        <v>0.37497799836410567</v>
      </c>
      <c r="D13" s="181">
        <f t="shared" si="0"/>
        <v>0.4103228593024511</v>
      </c>
      <c r="E13" s="217">
        <f t="shared" si="1"/>
        <v>0.05</v>
      </c>
      <c r="F13" s="217">
        <f t="shared" si="2"/>
        <v>0.05</v>
      </c>
      <c r="G13" s="173">
        <v>0.37497799836410567</v>
      </c>
      <c r="H13" s="203">
        <f t="shared" si="3"/>
        <v>0.37497799836410567</v>
      </c>
      <c r="J13" s="1"/>
      <c r="K13" s="1"/>
      <c r="L13" s="1"/>
      <c r="M13" s="1"/>
    </row>
    <row r="14" spans="1:13" ht="13.5" thickBot="1">
      <c r="A14" s="161">
        <f t="shared" si="4"/>
        <v>5</v>
      </c>
      <c r="B14" s="138">
        <v>0.05</v>
      </c>
      <c r="C14" s="181">
        <f t="shared" si="5"/>
        <v>0.44216274791758287</v>
      </c>
      <c r="D14" s="181">
        <f t="shared" si="0"/>
        <v>0.39078367552614385</v>
      </c>
      <c r="E14" s="217">
        <f t="shared" si="1"/>
        <v>0.05</v>
      </c>
      <c r="F14" s="217">
        <f t="shared" si="2"/>
        <v>0.05</v>
      </c>
      <c r="G14" s="173">
        <v>0.44216274791758287</v>
      </c>
      <c r="H14" s="203">
        <f t="shared" si="3"/>
        <v>0.44216274791758287</v>
      </c>
      <c r="J14" s="1"/>
      <c r="K14" s="1"/>
      <c r="L14" s="1"/>
      <c r="M14" s="1"/>
    </row>
    <row r="15" spans="1:13" ht="13.5" thickBot="1">
      <c r="A15" s="161">
        <f t="shared" si="4"/>
        <v>6</v>
      </c>
      <c r="B15" s="138">
        <v>0.05</v>
      </c>
      <c r="C15" s="181">
        <f t="shared" si="5"/>
        <v>0.5154901740533603</v>
      </c>
      <c r="D15" s="181">
        <f t="shared" si="0"/>
        <v>0.372174929072518</v>
      </c>
      <c r="E15" s="217">
        <f t="shared" si="1"/>
        <v>0.05</v>
      </c>
      <c r="F15" s="217">
        <f t="shared" si="2"/>
        <v>0.05</v>
      </c>
      <c r="G15" s="173">
        <v>0.5154901740533603</v>
      </c>
      <c r="H15" s="203">
        <f t="shared" si="3"/>
        <v>0.5154901740533603</v>
      </c>
      <c r="J15" s="1"/>
      <c r="K15" s="1"/>
      <c r="L15" s="1"/>
      <c r="M15" s="1"/>
    </row>
    <row r="16" spans="1:13" ht="13.5" thickBot="1">
      <c r="A16" s="161">
        <f t="shared" si="4"/>
        <v>7</v>
      </c>
      <c r="B16" s="138">
        <v>0.05</v>
      </c>
      <c r="C16" s="181">
        <f t="shared" si="5"/>
        <v>0.5903702013072585</v>
      </c>
      <c r="D16" s="181">
        <f t="shared" si="0"/>
        <v>0.354452313402398</v>
      </c>
      <c r="E16" s="217">
        <f t="shared" si="1"/>
        <v>0.05</v>
      </c>
      <c r="F16" s="217">
        <f t="shared" si="2"/>
        <v>0.05</v>
      </c>
      <c r="G16" s="173">
        <v>0.5903702013072585</v>
      </c>
      <c r="H16" s="203">
        <f t="shared" si="3"/>
        <v>0.5903702013072585</v>
      </c>
      <c r="J16" s="1"/>
      <c r="K16" s="1"/>
      <c r="L16" s="1"/>
      <c r="M16" s="1"/>
    </row>
    <row r="17" spans="1:13" ht="13.5" thickBot="1">
      <c r="A17" s="161">
        <f t="shared" si="4"/>
        <v>8</v>
      </c>
      <c r="B17" s="138">
        <v>0.05</v>
      </c>
      <c r="C17" s="181">
        <f t="shared" si="5"/>
        <v>0.6612868146651012</v>
      </c>
      <c r="D17" s="181">
        <f t="shared" si="0"/>
        <v>0.33757363181180766</v>
      </c>
      <c r="E17" s="217">
        <f t="shared" si="1"/>
        <v>0.05</v>
      </c>
      <c r="F17" s="217">
        <f t="shared" si="2"/>
        <v>0.05</v>
      </c>
      <c r="G17" s="173">
        <v>0.6612868146651012</v>
      </c>
      <c r="H17" s="203">
        <f t="shared" si="3"/>
        <v>0.6612868146651012</v>
      </c>
      <c r="J17" s="1"/>
      <c r="K17" s="1"/>
      <c r="L17" s="1"/>
      <c r="M17" s="1"/>
    </row>
    <row r="18" spans="1:13" ht="13.5" thickBot="1">
      <c r="A18" s="161">
        <f t="shared" si="4"/>
        <v>9</v>
      </c>
      <c r="B18" s="138">
        <v>0.05</v>
      </c>
      <c r="C18" s="181">
        <f t="shared" si="5"/>
        <v>0.7232800963726937</v>
      </c>
      <c r="D18" s="181">
        <f t="shared" si="0"/>
        <v>0.3214986969636263</v>
      </c>
      <c r="E18" s="217">
        <f t="shared" si="1"/>
        <v>0.05</v>
      </c>
      <c r="F18" s="217">
        <f t="shared" si="2"/>
        <v>0.05</v>
      </c>
      <c r="G18" s="173">
        <v>0.7232800963726937</v>
      </c>
      <c r="H18" s="203">
        <f t="shared" si="3"/>
        <v>0.7232800963726937</v>
      </c>
      <c r="J18" s="1"/>
      <c r="K18" s="1"/>
      <c r="L18" s="1"/>
      <c r="M18" s="1"/>
    </row>
    <row r="19" spans="1:13" ht="13.5" thickBot="1">
      <c r="A19" s="161">
        <f t="shared" si="4"/>
        <v>10</v>
      </c>
      <c r="B19" s="138">
        <v>0.05</v>
      </c>
      <c r="C19" s="181">
        <f t="shared" si="5"/>
        <v>0.773353095654594</v>
      </c>
      <c r="D19" s="179">
        <f>($B$6^A18)*($B$1*$B$3*$C$19*(1-$C$19/$B$4)-($B$2/2)*($B$3*$C$19*(1-$C$19/$B$4))^2)/$B$5</f>
        <v>11.24907180316468</v>
      </c>
      <c r="E19" s="163"/>
      <c r="F19" s="163"/>
      <c r="G19" s="173">
        <v>0.773353095654594</v>
      </c>
      <c r="H19" s="203">
        <f t="shared" si="3"/>
        <v>0.773353095654594</v>
      </c>
      <c r="J19" s="1"/>
      <c r="K19" s="1"/>
      <c r="L19" s="1"/>
      <c r="M19" s="1"/>
    </row>
    <row r="20" spans="1:13" ht="13.5" thickBot="1">
      <c r="A20" s="48"/>
      <c r="B20" s="50"/>
      <c r="C20" s="50"/>
      <c r="D20" s="47"/>
      <c r="E20" s="1"/>
      <c r="F20" s="1"/>
      <c r="G20" s="1"/>
      <c r="H20" s="1"/>
      <c r="I20" s="1"/>
      <c r="J20" s="1"/>
      <c r="K20" s="1"/>
      <c r="L20" s="1"/>
      <c r="M20" s="1"/>
    </row>
    <row r="21" spans="1:13" ht="13.5" thickBot="1">
      <c r="A21" s="48"/>
      <c r="B21" s="50"/>
      <c r="C21" s="177" t="s">
        <v>314</v>
      </c>
      <c r="D21" s="138">
        <f>SUM(D9:D19)</f>
        <v>15.29284786389215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s="247" customFormat="1" ht="13.5" thickBot="1">
      <c r="A22" s="243" t="s">
        <v>56</v>
      </c>
      <c r="B22" s="244"/>
      <c r="C22" s="245"/>
      <c r="D22" s="246"/>
      <c r="E22" s="244"/>
      <c r="F22" s="244"/>
      <c r="G22" s="244"/>
      <c r="H22" s="244"/>
      <c r="I22" s="244"/>
      <c r="J22" s="244"/>
      <c r="K22" s="244"/>
      <c r="L22" s="244"/>
      <c r="M22" s="244"/>
    </row>
    <row r="23" spans="1:13" ht="13.5" thickBot="1">
      <c r="A23" s="1"/>
      <c r="B23" s="1"/>
      <c r="C23" s="1"/>
      <c r="D23" s="131"/>
      <c r="E23" s="2"/>
      <c r="F23" s="3" t="s">
        <v>416</v>
      </c>
      <c r="G23" s="2"/>
      <c r="H23" s="132"/>
      <c r="I23" s="1" t="s">
        <v>212</v>
      </c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2" t="s">
        <v>330</v>
      </c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 t="s">
        <v>158</v>
      </c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 t="s">
        <v>232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5">
      <c r="A31" s="1" t="s">
        <v>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2" t="s">
        <v>144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4" t="s">
        <v>138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4" t="s">
        <v>139</v>
      </c>
      <c r="D38" s="129" t="s">
        <v>141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4" t="s">
        <v>140</v>
      </c>
      <c r="D39" s="1" t="s">
        <v>143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4" t="s">
        <v>142</v>
      </c>
      <c r="D40" s="1" t="s">
        <v>145</v>
      </c>
      <c r="E40" s="1"/>
      <c r="F40" s="1"/>
      <c r="G40" s="1"/>
      <c r="H40" s="1"/>
      <c r="I40" s="1"/>
      <c r="J40" s="1"/>
      <c r="K40" s="1"/>
      <c r="L40" s="1"/>
      <c r="M40" s="1"/>
    </row>
  </sheetData>
  <printOptions headings="1"/>
  <pageMargins left="0.3" right="0.3" top="0.7" bottom="0.7" header="0.5" footer="0.5"/>
  <pageSetup orientation="portrait" paperSize="9" scale="80"/>
  <headerFooter alignWithMargins="0">
    <oddHeader>&amp;L&amp;F, sheet 7&amp;ROptimal Harvesting of Renewable Resources</oddHeader>
    <oddFooter>&amp;CPage &amp;P of &amp;N</oddFooter>
  </headerFooter>
  <drawing r:id="rId5"/>
  <legacyDrawing r:id="rId4"/>
  <oleObjects>
    <oleObject progId="Equation.3" shapeId="660797" r:id="rId1"/>
    <oleObject progId="Equation.3" shapeId="660801" r:id="rId2"/>
    <oleObject progId="Equation.3" shapeId="66080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2001-09-23T16:21:33Z</cp:lastPrinted>
  <dcterms:created xsi:type="dcterms:W3CDTF">2001-01-14T21:58:59Z</dcterms:created>
  <cp:category/>
  <cp:version/>
  <cp:contentType/>
  <cp:contentStatus/>
</cp:coreProperties>
</file>