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776" yWindow="20" windowWidth="16680" windowHeight="6400" tabRatio="18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solver_adj" localSheetId="0" hidden="1">'Sheet1'!$Q$698</definedName>
    <definedName name="solver_lhs1" localSheetId="0" hidden="1">'Sheet1'!$Q$702</definedName>
    <definedName name="solver_lin" localSheetId="0" hidden="1">0</definedName>
    <definedName name="solver_num" localSheetId="0" hidden="1">1</definedName>
    <definedName name="solver_opt" localSheetId="0" hidden="1">'Sheet1'!$Q$702</definedName>
    <definedName name="solver_rel1" localSheetId="0" hidden="1">1</definedName>
    <definedName name="solver_rhs1" localSheetId="0" hidden="1">'Sheet1'!$Q$703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<sst xmlns="http://schemas.openxmlformats.org/spreadsheetml/2006/main" count="1013" uniqueCount="686">
  <si>
    <t xml:space="preserve">As a reference case, we consider first a firm that operates under conditions of certainty.  Demand can change, </t>
  </si>
  <si>
    <t xml:space="preserve">as can a firm's cost function, but under discrete conditions in which any change is known in advance and reacted </t>
  </si>
  <si>
    <t>to accordingly:</t>
  </si>
  <si>
    <t>a</t>
  </si>
  <si>
    <t>b</t>
  </si>
  <si>
    <t>Competitive Market Demand</t>
  </si>
  <si>
    <t>Pd =</t>
  </si>
  <si>
    <t>Qd</t>
  </si>
  <si>
    <t>Competitive Market Supply</t>
  </si>
  <si>
    <t>Ps =</t>
  </si>
  <si>
    <t>Qs</t>
  </si>
  <si>
    <t>Competitive Market Equilibrium</t>
  </si>
  <si>
    <t>Ps = Pd =</t>
  </si>
  <si>
    <t>Qd      =</t>
  </si>
  <si>
    <t>Qe =</t>
  </si>
  <si>
    <t>Pe =</t>
  </si>
  <si>
    <t xml:space="preserve">If the firm is in a competitive industry, then if we adopt a market equilibrium price, the firm can set its profit maximizing </t>
  </si>
  <si>
    <t xml:space="preserve">level according to the prevailing market price, which is also equivalent to the firm's average and marginal revenue </t>
  </si>
  <si>
    <t xml:space="preserve">function.   We do so with the cost terms </t>
  </si>
  <si>
    <t xml:space="preserve"> Firm's Total Cost Function:</t>
  </si>
  <si>
    <t xml:space="preserve">a      </t>
  </si>
  <si>
    <t xml:space="preserve">b    </t>
  </si>
  <si>
    <t xml:space="preserve">c      </t>
  </si>
  <si>
    <t>TC =</t>
  </si>
  <si>
    <t>Q            +</t>
  </si>
  <si>
    <t>Q</t>
  </si>
  <si>
    <t xml:space="preserve">Given the firm's optimal output level, we can now compute from the second order term, the firm's input budget </t>
  </si>
  <si>
    <t>L(opt) =</t>
  </si>
  <si>
    <t xml:space="preserve"> and which when these optimal input levels are put in the production function yield output at:</t>
  </si>
  <si>
    <t>constraint.  To do so, we multiply the second order cost coefficient by the optimal output level.</t>
  </si>
  <si>
    <t xml:space="preserve">                      =</t>
  </si>
  <si>
    <t xml:space="preserve"> =  budget constraint.</t>
  </si>
  <si>
    <t>With a given optimal output level, an underlying budget constraint, the production function, and relative input</t>
  </si>
  <si>
    <t xml:space="preserve"> prices, we show here the  results of a Cobb-Douglas constrained optimization formulation.</t>
  </si>
  <si>
    <t>(K)opt:</t>
  </si>
  <si>
    <t>(L)opt:</t>
  </si>
  <si>
    <t xml:space="preserve"> The choice of these optimal inputs is determined by the original output level and the underlying production</t>
  </si>
  <si>
    <t xml:space="preserve"> function.  They will change in response to changes in parameters of the production function, in changes in</t>
  </si>
  <si>
    <t xml:space="preserve"> input prices, and in response to changes in the optimal output level.</t>
  </si>
  <si>
    <t xml:space="preserve">Let us now disaggregate the firm's various cost components.  To do so, we first list the firm's production cost above,  </t>
  </si>
  <si>
    <t>Dr. P. LeBel</t>
  </si>
  <si>
    <t>Profit Maximization Under Uncertainty</t>
  </si>
  <si>
    <t>A. Overview</t>
  </si>
  <si>
    <t xml:space="preserve">          Consider a firm that produces goods when the level of demand is subject to random fluctuations. </t>
  </si>
  <si>
    <t xml:space="preserve"> How do random fluctuations in demand affect a firm's profit-maximizing level of output?  To answer this </t>
  </si>
  <si>
    <t>question, we construct a model that has variable purchase orders over a given time period.  Production</t>
  </si>
  <si>
    <t xml:space="preserve">levels are determined simultaneously by profit maximization, with the storage capacity, or fixed cost, </t>
  </si>
  <si>
    <t>of the firm set exogenously.</t>
  </si>
  <si>
    <t>Simulation Tableau</t>
  </si>
  <si>
    <t>Figure 1 Simulation Data</t>
  </si>
  <si>
    <t>Figure 2 - Revised Single Firm Competitive Equilibrium</t>
  </si>
  <si>
    <t>I. Competitive Market Supply and Demand</t>
  </si>
  <si>
    <t>Simulation Values</t>
  </si>
  <si>
    <t xml:space="preserve">Base Case </t>
  </si>
  <si>
    <t>Quantity</t>
  </si>
  <si>
    <t>Average Cost</t>
  </si>
  <si>
    <t>Marginal Cost</t>
  </si>
  <si>
    <t>Competitive Price</t>
  </si>
  <si>
    <t>Total Cost</t>
  </si>
  <si>
    <t>Deterministic Inverse Demand Intercept</t>
  </si>
  <si>
    <t>Deterministic Inverse Demand Coefficient</t>
  </si>
  <si>
    <t>Competitive Market Inverse Supply Intercept</t>
  </si>
  <si>
    <t>Competitive Market Inverse Supply Coefficient</t>
  </si>
  <si>
    <t>II. Single Firm Cost Variables</t>
  </si>
  <si>
    <t>Single Firm Total Fixed Cost ($a)</t>
  </si>
  <si>
    <t>Single Firm Production Cost First Order Term (=$b)</t>
  </si>
  <si>
    <t>Single Firm Second Order Production Term (=$c)</t>
  </si>
  <si>
    <t>III. Single Firm Fixed Cost Determinants</t>
  </si>
  <si>
    <t>Interest Rate</t>
  </si>
  <si>
    <t>Operating Plant Capital Asset Life, in years</t>
  </si>
  <si>
    <t xml:space="preserve">Plant Target Production Capacity </t>
  </si>
  <si>
    <t>Plant Capacity Capital Cost per 100 units</t>
  </si>
  <si>
    <t>Plant Capacity Capital Cost</t>
  </si>
  <si>
    <t>Annual Capital Cost Recovery Factor</t>
  </si>
  <si>
    <t xml:space="preserve"> IV.  Single Firm Inventory Cost Determinants</t>
  </si>
  <si>
    <t xml:space="preserve">    Annual Ordering Cost per unit (=K) =</t>
  </si>
  <si>
    <t xml:space="preserve">    Annual Holding Cost per unit (=H) =</t>
  </si>
  <si>
    <t xml:space="preserve">   Discretionary Inventory to Sales Ratio =</t>
  </si>
  <si>
    <t xml:space="preserve"> V.  Single Firm Second Order Variable Cost Determinants</t>
  </si>
  <si>
    <t>Exponential Cost Factor =</t>
  </si>
  <si>
    <t xml:space="preserve">     Cobb-Douglas Production</t>
  </si>
  <si>
    <t>A =</t>
  </si>
  <si>
    <t xml:space="preserve">     Function Parameters</t>
  </si>
  <si>
    <t>a =</t>
  </si>
  <si>
    <t xml:space="preserve">      and input prices</t>
  </si>
  <si>
    <t>b =</t>
  </si>
  <si>
    <t>P(K) =</t>
  </si>
  <si>
    <t>P(L) =</t>
  </si>
  <si>
    <t>In part B above, we note the derivation of the firm's fixed cost as a function of the prevailing rate of interest</t>
  </si>
  <si>
    <t>(or discount), the expected lifetime, in years of the capital asset, which provide for a level payment against</t>
  </si>
  <si>
    <t>a given capital expenditure.   When this figure is divided by a given level of output, we have the average</t>
  </si>
  <si>
    <t xml:space="preserve">fixed cost of production.  The derivation of a firm's annualized total and average fixed cost, is determined </t>
  </si>
  <si>
    <t>by the formula below:</t>
  </si>
  <si>
    <t>where:</t>
  </si>
  <si>
    <t>TFC = Total Fixed Cost</t>
  </si>
  <si>
    <t>AFC = Average Fixed Cost</t>
  </si>
  <si>
    <t>Ci = Capital Cost of the ith good,</t>
  </si>
  <si>
    <t>R = rate of discount (interest),</t>
  </si>
  <si>
    <t>n = number of time periods,</t>
  </si>
  <si>
    <t>Qi = level of output.</t>
  </si>
  <si>
    <t xml:space="preserve"> =  Capital Recovery Factor (crf)</t>
  </si>
  <si>
    <t>B.  Determination of a Competitive Firm's Profit Maximization under Certainty</t>
  </si>
  <si>
    <t xml:space="preserve">know precisely how quickly it can adapt to a given level of demand.  It thus chooses as an initial approximation to </t>
  </si>
  <si>
    <t xml:space="preserve">adopt an arbitrary inventory to sales ratio.  After we examine the effect of this choice on a firm's profitability, we will </t>
  </si>
  <si>
    <t>then examine an optimal inventory policy alternative.</t>
  </si>
  <si>
    <t>E.1  Unsold Inventory as a Sunk Cost</t>
  </si>
  <si>
    <t xml:space="preserve">The easiest way to grasp the inventory problem in our model is to consider it as a sunk cost of production.  We do so </t>
  </si>
  <si>
    <t xml:space="preserve">here simply to provide a basis from which to build in some management variations.  The way we will proceed here </t>
  </si>
  <si>
    <t>is to make the firm's inventory level as a function of its profit-maximizing level of output.   To derive the impact on profit,</t>
  </si>
  <si>
    <t xml:space="preserve">once we have the profit-maximizing level of output, we recalculate the total cost function in terms of the total output </t>
  </si>
  <si>
    <t xml:space="preserve">level inclusive of the output that is marketed plus output that is set aside as inventory.  These separate output targets </t>
  </si>
  <si>
    <t>are reported below as:</t>
  </si>
  <si>
    <t xml:space="preserve"> Profit maximizing output that is sold.</t>
  </si>
  <si>
    <t xml:space="preserve"> + Inventory Q =</t>
  </si>
  <si>
    <t xml:space="preserve">While we will disaggregate later on the components of the firm's underlying cost function, for now we simply derive </t>
  </si>
  <si>
    <t>the basis of the firm's initial optimal output decision.</t>
  </si>
  <si>
    <t>Firm's Marginal Cost Function:</t>
  </si>
  <si>
    <t>MC =</t>
  </si>
  <si>
    <t xml:space="preserve">         +</t>
  </si>
  <si>
    <t xml:space="preserve">For our competitive market equilibrium, the firm sets its output level at that point where marginal revenue </t>
  </si>
  <si>
    <t>equals marginal cost:</t>
  </si>
  <si>
    <t>Firm Equilibrium = (MR=MC)=</t>
  </si>
  <si>
    <t xml:space="preserve">               =</t>
  </si>
  <si>
    <t xml:space="preserve">          +</t>
  </si>
  <si>
    <t>The firm's total revenue and total cost position in equilibrium is thus:</t>
  </si>
  <si>
    <t>Total Revenue =</t>
  </si>
  <si>
    <t>Total Cost =</t>
  </si>
  <si>
    <t>Profit =</t>
  </si>
  <si>
    <t xml:space="preserve">In this baseline case, any short-term losses of the firm can not be addressed through better management of demand </t>
  </si>
  <si>
    <t xml:space="preserve">since the firm is in a competitive market.  It can only seek to better manage its costs.  Options for doing so include </t>
  </si>
  <si>
    <t xml:space="preserve">technical change in production as well as better control of the firm's fixed costs, such as in the selection of an optimal </t>
  </si>
  <si>
    <t>inventory level.</t>
  </si>
  <si>
    <t>C.  Linking Production Function Variations to a Competitive Firm's Optimal Output Decision</t>
  </si>
  <si>
    <t xml:space="preserve">To consider how a firm might address the management of its costs, we now look at some of the determinants </t>
  </si>
  <si>
    <t>of its underlying cost function.  One determinant is the firm's underlying production function.  We adopt here</t>
  </si>
  <si>
    <t xml:space="preserve">the assumption that the firm's production function is of a Cobb-Douglas form.  For a given Cobb-Douglas </t>
  </si>
  <si>
    <t>production function, its corresponding variable unit output cost is defined below as:</t>
  </si>
  <si>
    <t xml:space="preserve">     </t>
  </si>
  <si>
    <t>Solution to the Cobb-Douglas constrained optimization problem.</t>
  </si>
  <si>
    <t>Q =</t>
  </si>
  <si>
    <t>K</t>
  </si>
  <si>
    <t>L</t>
  </si>
  <si>
    <t>TVC=</t>
  </si>
  <si>
    <t xml:space="preserve"> = MC*Qe</t>
  </si>
  <si>
    <t>P(k) =</t>
  </si>
  <si>
    <t xml:space="preserve">Using the above formulation, we define the firm's second order term as a function of the underlying Cobb-Douglas </t>
  </si>
  <si>
    <t xml:space="preserve">cost function.  Based on the coefficients of the Cobb-Douglas production function in the simulation tableau, the </t>
  </si>
  <si>
    <t>Max  Lagrang.=</t>
  </si>
  <si>
    <t>L             +  Lamda</t>
  </si>
  <si>
    <t>K         +</t>
  </si>
  <si>
    <t xml:space="preserve">L             </t>
  </si>
  <si>
    <t>second order term of the firm's total cost function is now defined as:</t>
  </si>
  <si>
    <t>dQ/dK =</t>
  </si>
  <si>
    <t xml:space="preserve">     =      0</t>
  </si>
  <si>
    <t>4.a</t>
  </si>
  <si>
    <t>Individual Firm's Total Cost Function:</t>
  </si>
  <si>
    <t>dQ/dL =</t>
  </si>
  <si>
    <t xml:space="preserve">      =     0</t>
  </si>
  <si>
    <t>dQ/dLambda=</t>
  </si>
  <si>
    <t>K        +</t>
  </si>
  <si>
    <t xml:space="preserve">L           </t>
  </si>
  <si>
    <t xml:space="preserve">     =    0</t>
  </si>
  <si>
    <t>5.a</t>
  </si>
  <si>
    <t>L     =</t>
  </si>
  <si>
    <t xml:space="preserve"> - Lamda</t>
  </si>
  <si>
    <t xml:space="preserve">                +</t>
  </si>
  <si>
    <t xml:space="preserve">L         </t>
  </si>
  <si>
    <t>6.a</t>
  </si>
  <si>
    <t>Firm's Equilibrium =(MR=MC)=</t>
  </si>
  <si>
    <t>Thus L=</t>
  </si>
  <si>
    <t>K, which when put into the budget constraint yields an optimal K of:</t>
  </si>
  <si>
    <t xml:space="preserve">                           =</t>
  </si>
  <si>
    <t xml:space="preserve">                  +</t>
  </si>
  <si>
    <t xml:space="preserve">K         +         </t>
  </si>
  <si>
    <t>K           =</t>
  </si>
  <si>
    <t>K         =</t>
  </si>
  <si>
    <t>K             =</t>
  </si>
  <si>
    <t>, so that</t>
  </si>
  <si>
    <t>K(opt) =</t>
  </si>
  <si>
    <t xml:space="preserve"> and by reinserting this optimal value back into the budget constraint yields</t>
  </si>
  <si>
    <t>Inventory Annual Total Cost=</t>
  </si>
  <si>
    <t>If we again adopt the preceding assumption about the choice of an arbitrary inventory to sales ratio and</t>
  </si>
  <si>
    <t xml:space="preserve">then add the total cost to the firm's  basic total fixed cost.  Thus the firm's total fixed cost consists of its base </t>
  </si>
  <si>
    <t>fixed cost plus the inventory sunk, or "fixed cost", i.e.:</t>
  </si>
  <si>
    <t>, in which case the firm's total cost function becomes:</t>
  </si>
  <si>
    <t>4.d</t>
  </si>
  <si>
    <t xml:space="preserve">In this model, the optimal output is the same as in the original base case,  except that we have partitioned  </t>
  </si>
  <si>
    <t xml:space="preserve">immediate output going to sales from temporary inventory output. The result is that inventory still affects a </t>
  </si>
  <si>
    <t>firm's profitability, but somewhat less so in that all inventory is sold.  As in the preceding case, a lower</t>
  </si>
  <si>
    <t xml:space="preserve">inventory-to-sales ratio will raise the firm's profitability level. </t>
  </si>
  <si>
    <t xml:space="preserve"> Derived as the Product of </t>
  </si>
  <si>
    <t>in sales times</t>
  </si>
  <si>
    <t xml:space="preserve"> Derived from the optimal output level and the modified  cost equation 4.d.</t>
  </si>
  <si>
    <t>As the above comparison with our preceding variation shows, as long as a firm's inventory can be sold, the</t>
  </si>
  <si>
    <t>from which we obtain the other component costs as:</t>
  </si>
  <si>
    <t>Production Cost =</t>
  </si>
  <si>
    <t>Second order residual variable cost =</t>
  </si>
  <si>
    <t xml:space="preserve"> a.</t>
  </si>
  <si>
    <t>First Order Cost =</t>
  </si>
  <si>
    <r>
      <t xml:space="preserve"> b.  </t>
    </r>
    <r>
      <rPr>
        <sz val="12"/>
        <rFont val="Helv"/>
        <family val="0"/>
      </rPr>
      <t xml:space="preserve"> where:</t>
    </r>
  </si>
  <si>
    <t>Fixed Cost =</t>
  </si>
  <si>
    <t xml:space="preserve"> c.</t>
  </si>
  <si>
    <t>a.</t>
  </si>
  <si>
    <t>We will treat this residual as a management and marketing variable cost.</t>
  </si>
  <si>
    <t>b.</t>
  </si>
  <si>
    <t>We will later link this term to the firm's inventory choices.</t>
  </si>
  <si>
    <t>c.</t>
  </si>
  <si>
    <t>This term has already been defined above.</t>
  </si>
  <si>
    <t xml:space="preserve">Given our disaggregation of the firm's costs, we can now recompute the underlying level of profitability.  </t>
  </si>
  <si>
    <t xml:space="preserve">We can summarize the effects of changes in the firm's underlying production function on both its optimal </t>
  </si>
  <si>
    <t>output level as well as in terms of its resulting level of profitability;</t>
  </si>
  <si>
    <t xml:space="preserve">Table I                   </t>
  </si>
  <si>
    <t xml:space="preserve">                      Impact of Cobb-Douglas Parameter Changes</t>
  </si>
  <si>
    <t xml:space="preserve">                     Output</t>
  </si>
  <si>
    <t xml:space="preserve">                         Profitability</t>
  </si>
  <si>
    <t>Parameter</t>
  </si>
  <si>
    <t>Increase</t>
  </si>
  <si>
    <t>Decrease</t>
  </si>
  <si>
    <t>A</t>
  </si>
  <si>
    <t>positive</t>
  </si>
  <si>
    <t>negative</t>
  </si>
  <si>
    <t>P(k)</t>
  </si>
  <si>
    <t>Pl)</t>
  </si>
  <si>
    <t>Exp</t>
  </si>
  <si>
    <t>RORS</t>
  </si>
  <si>
    <t>M/M Mkt.Share</t>
  </si>
  <si>
    <t>Qe</t>
  </si>
  <si>
    <t>D.</t>
  </si>
  <si>
    <t xml:space="preserve">     Beyond the impact of production function variations on the profitability of the competitive firm, we can also</t>
  </si>
  <si>
    <t xml:space="preserve">take into account the impact of  management and marketing costs.  To do so, we have treated above the residual </t>
  </si>
  <si>
    <t>The Impact of Management and Marketing Costs on The Profitability of the Competitive Firm</t>
  </si>
  <si>
    <t>variable costs of the firm as embodying its marketing and  management costs.  While we will not here specify</t>
  </si>
  <si>
    <t xml:space="preserve">a mathematical formula for the firm's marketing and management costs, we can show the effect of an improvement </t>
  </si>
  <si>
    <t>in those variables on the firm's output and profitability levels.  We do so by a discrete variation in the exponential</t>
  </si>
  <si>
    <t xml:space="preserve">term of the second order variable cost.  Listed below is a summary simulation for various values of the exponential </t>
  </si>
  <si>
    <t xml:space="preserve">term from 1.05 to 3.5. Obviously, the smaller is a firm's management and marketing costs in absolute and relative </t>
  </si>
  <si>
    <t xml:space="preserve">terms, the higher will be the level of output and profitability of the firm.  For our present purposes, we will set aside </t>
  </si>
  <si>
    <t>any further disaggregation of the determinants of these costs.</t>
  </si>
  <si>
    <t xml:space="preserve">    Table 2</t>
  </si>
  <si>
    <t>Impact of Management and Marketing Cost Changes on Output and Profitability</t>
  </si>
  <si>
    <t>Rate of Return</t>
  </si>
  <si>
    <t>Prod. Function</t>
  </si>
  <si>
    <t>Management +</t>
  </si>
  <si>
    <t>Exp.</t>
  </si>
  <si>
    <t>TR</t>
  </si>
  <si>
    <t>TC</t>
  </si>
  <si>
    <t>Profit Level</t>
  </si>
  <si>
    <t>on Sales</t>
  </si>
  <si>
    <t>Cost</t>
  </si>
  <si>
    <t>Marketing VC</t>
  </si>
  <si>
    <t>E.  Linking a Firm's Inventory Policy to Its Optimal Output Decision</t>
  </si>
  <si>
    <t xml:space="preserve">In an ideal world of perfect information, a firm would maintain zero inventory since it would know instantly exactly </t>
  </si>
  <si>
    <t xml:space="preserve">how much to produce.  We relax this restrictive assumption here to examine what happens when a firm does not </t>
  </si>
  <si>
    <t>Annual:</t>
  </si>
  <si>
    <t xml:space="preserve"> =TIC=Hx(Q/2)</t>
  </si>
  <si>
    <t>Quarterly:</t>
  </si>
  <si>
    <t xml:space="preserve"> =TIC=Hx[(Q/4)/2]</t>
  </si>
  <si>
    <t>TVC =</t>
  </si>
  <si>
    <t>Monthly:</t>
  </si>
  <si>
    <t xml:space="preserve"> =TIC=Hx[(Q/12)/2]</t>
  </si>
  <si>
    <t xml:space="preserve">  Although the monthly holding cost is the cheapest,</t>
  </si>
  <si>
    <t>P(k)=</t>
  </si>
  <si>
    <t xml:space="preserve"> it must now be compared to the firm's inventory ordering cost.  To do so, let us now look at the formal statement of </t>
  </si>
  <si>
    <t>(Pl)=</t>
  </si>
  <si>
    <t>the EOQ model.</t>
  </si>
  <si>
    <t xml:space="preserve">     If we now take the EOQ formula above, multiply each side by Q and then divide each side by H/2, we obtain</t>
  </si>
  <si>
    <t xml:space="preserve"> the general formula for the optimal inventory level:</t>
  </si>
  <si>
    <t xml:space="preserve">     Using  the above optimal inventory formula, we now derive the optimal inventory level as:</t>
  </si>
  <si>
    <t>Optimal Inventory Level:</t>
  </si>
  <si>
    <t>Unit Ordering Cost, K =</t>
  </si>
  <si>
    <t xml:space="preserve"> from the simulation tableau</t>
  </si>
  <si>
    <t>Unit Holding Cost, H =</t>
  </si>
  <si>
    <t xml:space="preserve"> from the simulation tableau, and</t>
  </si>
  <si>
    <t>Market Demand, D =</t>
  </si>
  <si>
    <t xml:space="preserve"> from  (6.c), the total output of the firm which consists of:</t>
  </si>
  <si>
    <t>Q* =</t>
  </si>
  <si>
    <t xml:space="preserve"> the firm's optimal inventory level and  </t>
  </si>
  <si>
    <t xml:space="preserve"> the firm's output that is sold immediately.</t>
  </si>
  <si>
    <t>We now recompute the firm's optimal inventory-to-sales ratio at:</t>
  </si>
  <si>
    <t>which is</t>
  </si>
  <si>
    <t xml:space="preserve"> arbitrarily chosen inventory-to-sales ratio.</t>
  </si>
  <si>
    <t>based on an inventory/sales ratio of</t>
  </si>
  <si>
    <t>Total Output =</t>
  </si>
  <si>
    <t xml:space="preserve"> Total output against which a firm's costs are recomputed.</t>
  </si>
  <si>
    <t>The inventory sunk cost is calculated on the following:</t>
  </si>
  <si>
    <t>Basic Target Inventory Level =</t>
  </si>
  <si>
    <t>Inventory Annual Ordering Cost =</t>
  </si>
  <si>
    <t xml:space="preserve"> based on</t>
  </si>
  <si>
    <t xml:space="preserve"> per unit, and in turn,</t>
  </si>
  <si>
    <t>Inventory Annual Holding Cost =</t>
  </si>
  <si>
    <t xml:space="preserve"> based on </t>
  </si>
  <si>
    <t>per unit, to provide a total cost of:</t>
  </si>
  <si>
    <t>Inventory Annual Total Cost =</t>
  </si>
  <si>
    <t>If we adopt the preceding assumption about the choice of an arbitrary inventory to sales ratio and then add the</t>
  </si>
  <si>
    <t xml:space="preserve">total cost to the firm's basic total fixed cost, as is shown below in equation 4.b.  Thus the firm's total fixed cost </t>
  </si>
  <si>
    <t>consists of its base fixed cost plus the inventory sunk, or "fixed cost", i.e.:</t>
  </si>
  <si>
    <t>Basic Fixed Cost</t>
  </si>
  <si>
    <t>Inventory Total Cost</t>
  </si>
  <si>
    <t>Total Fixed Cost</t>
  </si>
  <si>
    <t>, in which case we restate the firm's total cost function:</t>
  </si>
  <si>
    <t>4.b</t>
  </si>
  <si>
    <t xml:space="preserve"> Firm's Inventory-Based Total Cost Function:</t>
  </si>
  <si>
    <t>5.b</t>
  </si>
  <si>
    <t>6.b</t>
  </si>
  <si>
    <t>Firm's Recomputed Equilibrium =(MR=MC)=</t>
  </si>
  <si>
    <t xml:space="preserve">                 =</t>
  </si>
  <si>
    <t>Total Revenue is derived as totalsales of</t>
  </si>
  <si>
    <t xml:space="preserve"> times</t>
  </si>
  <si>
    <t xml:space="preserve">Total costs are inclusive of marketed output and inventory target level. Obviously, the higher the target </t>
  </si>
  <si>
    <t>inventory to sales ratio, the lower will be a firm's profit level unless offset by a shift in market demand.</t>
  </si>
  <si>
    <t xml:space="preserve">  </t>
  </si>
  <si>
    <t>E.2  An Arbitrary Inventory-to-Sales Model in Which all Output is Sold</t>
  </si>
  <si>
    <t xml:space="preserve">The above scenario simply produces an excess cost to the firm, which if it managed to have a zero, or just in time, </t>
  </si>
  <si>
    <t xml:space="preserve">inventory level, would clearly add to its profitability.  As things stand, the firm would simply stock its arbitrarily chosen </t>
  </si>
  <si>
    <t xml:space="preserve">level of inventory and it would not be sold. To make things a bit more realistic, let us thus modify the firm's profit </t>
  </si>
  <si>
    <t xml:space="preserve">maximizing objective by incorporating inventory as a percentage of its profit-maximizing level of output.  In this case, </t>
  </si>
  <si>
    <t>Q is multiplied by a compound factor that incorporates the firm's inventory-to sales ratio.</t>
  </si>
  <si>
    <t>4.c</t>
  </si>
  <si>
    <t xml:space="preserve"> Firm's Total Cost:</t>
  </si>
  <si>
    <t>Q        +</t>
  </si>
  <si>
    <t>5.c</t>
  </si>
  <si>
    <t xml:space="preserve"> Marginal Cost Function:</t>
  </si>
  <si>
    <t>6.c</t>
  </si>
  <si>
    <t>Firm's New Equilibrium:</t>
  </si>
  <si>
    <t xml:space="preserve"> =</t>
  </si>
  <si>
    <t xml:space="preserve">  +</t>
  </si>
  <si>
    <t>Q*(1+IR)</t>
  </si>
  <si>
    <t xml:space="preserve"> Basic output</t>
  </si>
  <si>
    <t>Inventory Q =</t>
  </si>
  <si>
    <t>, derived from an arbitrarily chosen ratio of</t>
  </si>
  <si>
    <t xml:space="preserve"> Profit-maximizing level of output, including inventory, that is sold.</t>
  </si>
  <si>
    <t xml:space="preserve">We now recompute the sunk, or "fixed cost" of inventory as the joint product of the firm's ordering and </t>
  </si>
  <si>
    <t>holding costs, i.e.:</t>
  </si>
  <si>
    <t>7.a</t>
  </si>
  <si>
    <t xml:space="preserve"> based on an inventory/sales ratio of:</t>
  </si>
  <si>
    <t>8.a</t>
  </si>
  <si>
    <t>based on</t>
  </si>
  <si>
    <t>per unit, and in turn,</t>
  </si>
  <si>
    <t>9.a</t>
  </si>
  <si>
    <t>per unit, to provide a total cost of</t>
  </si>
  <si>
    <t>10.a</t>
  </si>
  <si>
    <t xml:space="preserve">of certainty in the level of  demand. We now allow the firm's deterministic inverse demand to be perturbed by a </t>
  </si>
  <si>
    <t xml:space="preserve">random number that allows demand to shift to the right or to the left of the original level of demand.  The random </t>
  </si>
  <si>
    <t>number cell, which changes each time a calculation is done is given in the boxed cell of Equation 16 with the</t>
  </si>
  <si>
    <t>result shown  in Figure 6.</t>
  </si>
  <si>
    <t>Random Number:</t>
  </si>
  <si>
    <t xml:space="preserve">, </t>
  </si>
  <si>
    <t xml:space="preserve">which in turn is multiplied by a factor of 1.5 to permit fluctuations above and below the original demand curve level.  </t>
  </si>
  <si>
    <t xml:space="preserve">Thus, the constant term in equation 5 is the deterministic demand equation constant term multiplied by the random </t>
  </si>
  <si>
    <t xml:space="preserve">number value in equation 3 times 1.5.  A comparison of the deterministic inverse demand curve of equation 3  </t>
  </si>
  <si>
    <t>and the random inverse demand curve model is shown below in Figure 6.</t>
  </si>
  <si>
    <t>Deterministic Demand</t>
  </si>
  <si>
    <t>Random Demand</t>
  </si>
  <si>
    <t>Random Level Competitive Market Demand</t>
  </si>
  <si>
    <t>(Eq. 2.) Competitive Market Supply Function</t>
  </si>
  <si>
    <t>Random Demand Market Equilibrium Quantity</t>
  </si>
  <si>
    <t>Random Market Demand Equilibrium Price</t>
  </si>
  <si>
    <t>Once we introduce a random demand function, we can now proceed to the derivation of the random</t>
  </si>
  <si>
    <t>total revenue and random marginal revenue functions.</t>
  </si>
  <si>
    <t xml:space="preserve"> adverse impact is obviously less than if the firm simply maintained an unsold inventory-to-sales ratio.</t>
  </si>
  <si>
    <t>E.3</t>
  </si>
  <si>
    <t>The Economic Order Quantity (EOQ) Model</t>
  </si>
  <si>
    <t xml:space="preserve">     Let us now revisit the inventory problem in terms of an optimal inventory level.  To do so, we take into </t>
  </si>
  <si>
    <t xml:space="preserve">consideration the ordering cost  per year and the holding cost per year.  In turn, we can then link them to the </t>
  </si>
  <si>
    <t xml:space="preserve">inventory to sales ratio.   The standard model of optimal inventory management is the Economic Order Quantity </t>
  </si>
  <si>
    <t xml:space="preserve">(EOQ) model.  The assumptions of the EOQ model are that the demand is constant over time, that the per-unit </t>
  </si>
  <si>
    <t xml:space="preserve">holding cost and ordering cost are independent of the quantity ordered, that shipments arrive exactly when the </t>
  </si>
  <si>
    <t xml:space="preserve">inventory level reaches zero so that no shortages arise, that orders for different items are independent of each </t>
  </si>
  <si>
    <t xml:space="preserve">other, and full orders are delivered in one batch.  We first specify the variables in the EOQ model, from which </t>
  </si>
  <si>
    <t>the optimal inventory level is derived.</t>
  </si>
  <si>
    <t xml:space="preserve">     In the EOQ model, the firm's total ordering cost is defined as:  DK/Q, where D is the level of market demand, </t>
  </si>
  <si>
    <t xml:space="preserve">K is the per unit ordering cost, and Q is the quantity to be ordered.  The optimal inventory solution is defined as </t>
  </si>
  <si>
    <t xml:space="preserve">setting the annual holding cost equal to the annual ordering cost. If the level of market demand is known, then </t>
  </si>
  <si>
    <t xml:space="preserve">one can then compute the optimal inventory level based on the relative cost of holding versus ordering.  Let us </t>
  </si>
  <si>
    <t>now look at the specification of the EOQ model in terms of its component variables.</t>
  </si>
  <si>
    <t xml:space="preserve">     As a starting reference if we adopt the notion that inventory ranges between zero and all of the level of demand,  </t>
  </si>
  <si>
    <t>then the average inventory level is one-half the maximum level of inventory, as can be illustrated in the following</t>
  </si>
  <si>
    <t>two equations below.</t>
  </si>
  <si>
    <t>Optimal Inventory Sensitive Production Function</t>
  </si>
  <si>
    <t>Optimal inventory inclusive total required output</t>
  </si>
  <si>
    <t>Revised Second Order Cost Coefficient = reciprocalof adjustment factor times base cost coefficient)</t>
  </si>
  <si>
    <t>Revised Second Order Cost Function Budget Constraint</t>
  </si>
  <si>
    <t>Optimal Expenditure on K</t>
  </si>
  <si>
    <t>Optimal Expenditure on L</t>
  </si>
  <si>
    <t>Optimal level of K</t>
  </si>
  <si>
    <t>Average Inventory =</t>
  </si>
  <si>
    <t>Q/2      =</t>
  </si>
  <si>
    <t xml:space="preserve"> and total annual inventory holding cost will be:</t>
  </si>
  <si>
    <t>Optimal level of L</t>
  </si>
  <si>
    <t>Optimal level of total output</t>
  </si>
  <si>
    <t>Average Holding Cost=</t>
  </si>
  <si>
    <t>Hx(Q/2) =</t>
  </si>
  <si>
    <t xml:space="preserve"> based on a unit holding cost of:</t>
  </si>
  <si>
    <t>The total annual inventory cost can be further refined in terms of whether inventory is ordered on an annual basis,</t>
  </si>
  <si>
    <t xml:space="preserve"> a quarterly basis, or a monthly basis, as follows:</t>
  </si>
  <si>
    <t xml:space="preserve">  Based on several simulations, we can now derive a few comparative profiles.</t>
  </si>
  <si>
    <t>Table 3</t>
  </si>
  <si>
    <t>B</t>
  </si>
  <si>
    <t>Exponent.Cost Factor</t>
  </si>
  <si>
    <t>Int.Rate</t>
  </si>
  <si>
    <t>Asset Life</t>
  </si>
  <si>
    <t>Plant Cap.Cost</t>
  </si>
  <si>
    <t>Inventory Order Cost</t>
  </si>
  <si>
    <t>Inventory Holding Cost</t>
  </si>
  <si>
    <t>Inventory</t>
  </si>
  <si>
    <t>Profit</t>
  </si>
  <si>
    <t>F.2 Equilibrium of the Monopoly Firm with Random Demand</t>
  </si>
  <si>
    <t xml:space="preserve">Thus far we have seen that in a market with random demand, how well a competitive firm manages its production </t>
  </si>
  <si>
    <t xml:space="preserve">and inventory costs can have an effect on its underlying likelihood of profitability.  This is no less true for a monopoly </t>
  </si>
  <si>
    <t xml:space="preserve">firm than for a competitive one, although the margin of profitability is likely to be greater on average.  Consider, </t>
  </si>
  <si>
    <t>for example, the underlying inverse demand and revenue functions for the monopoly firm.</t>
  </si>
  <si>
    <t xml:space="preserve">Inverse Random Demand Function </t>
  </si>
  <si>
    <t xml:space="preserve">Inverse Random Total Revenue Function </t>
  </si>
  <si>
    <t>TR =</t>
  </si>
  <si>
    <t xml:space="preserve">Q        </t>
  </si>
  <si>
    <t xml:space="preserve">Inverse Random Marginal Revenue Function </t>
  </si>
  <si>
    <t>MR =</t>
  </si>
  <si>
    <t xml:space="preserve">(Equation 4.d.1) Monopoly Firm Total Cost </t>
  </si>
  <si>
    <t xml:space="preserve">(Equation 5.) Monopoly Firm Marginal Cost </t>
  </si>
  <si>
    <t xml:space="preserve"> Monopoly  Output:</t>
  </si>
  <si>
    <t>Qe=(MR=MC)=</t>
  </si>
  <si>
    <t>Q             =</t>
  </si>
  <si>
    <t xml:space="preserve">      +</t>
  </si>
  <si>
    <t>Simplifying:</t>
  </si>
  <si>
    <t xml:space="preserve">   =</t>
  </si>
  <si>
    <t>Q                 +</t>
  </si>
  <si>
    <t>Based on the optimal inventory-to-sales ratio, we now recompute the inventory cost as the joint product of the</t>
  </si>
  <si>
    <t>firm's ordering and holding costs:</t>
  </si>
  <si>
    <t>7.b</t>
  </si>
  <si>
    <t>8.b</t>
  </si>
  <si>
    <t>Inventory Annual Ordering Cost:</t>
  </si>
  <si>
    <t>9.b</t>
  </si>
  <si>
    <t>Inventory Annual Holding Cost:</t>
  </si>
  <si>
    <t xml:space="preserve"> per unit, to provide a total cost of:</t>
  </si>
  <si>
    <t>10.b</t>
  </si>
  <si>
    <t>Inventory Annual Total Cost:</t>
  </si>
  <si>
    <t xml:space="preserve">The optimal inventory level also enables us to derive the optimal number of orders to be placed in a given year, </t>
  </si>
  <si>
    <t>which is the level of demand divided by the optimal level of inventory, or D/Q*.</t>
  </si>
  <si>
    <t xml:space="preserve">Optimal Order Number (N=D/Q*), or: </t>
  </si>
  <si>
    <t xml:space="preserve"> and from which we can calculate the daily average inventory level as:</t>
  </si>
  <si>
    <t>Number of days' supply (=365/N):</t>
  </si>
  <si>
    <t xml:space="preserve"> ,</t>
  </si>
  <si>
    <t>and which could be reduced downward by the actual number of days worked in a year.</t>
  </si>
  <si>
    <t>4.e</t>
  </si>
  <si>
    <t>Firm's Optimal InventoryTotal Cost</t>
  </si>
  <si>
    <t xml:space="preserve"> Firm's Marginal Cost Function</t>
  </si>
  <si>
    <t xml:space="preserve">            +</t>
  </si>
  <si>
    <t>6.e</t>
  </si>
  <si>
    <t>Firm's Equilibrium=(MR=MC)=</t>
  </si>
  <si>
    <t xml:space="preserve">             =</t>
  </si>
  <si>
    <t xml:space="preserve">              +</t>
  </si>
  <si>
    <t>Q(-OI)</t>
  </si>
  <si>
    <t>Optimal Output</t>
  </si>
  <si>
    <t>Q*=</t>
  </si>
  <si>
    <t>Optimal inventory</t>
  </si>
  <si>
    <t>Basic Output that is sold immediately.</t>
  </si>
  <si>
    <t>We now recompute the firm's profit level in light of the optimal inventory solution:</t>
  </si>
  <si>
    <t>, the Product of</t>
  </si>
  <si>
    <t>times</t>
  </si>
  <si>
    <t xml:space="preserve"> Derived from the optimal output level and the modified  cost equation 4.c.</t>
  </si>
  <si>
    <t xml:space="preserve">Based on the optimal inventory model, whether the firm makes/loses more money than in the arbitrary </t>
  </si>
  <si>
    <t xml:space="preserve">inventory-to-sales ratio model depends on the relative prices of the firm's ordering and holding costs, </t>
  </si>
  <si>
    <t>which in turn determines its optimal inventory-to-sales ratio.</t>
  </si>
  <si>
    <t xml:space="preserve">Let us now also keep in mind that our EOQ optimal inventory model also permits us to track the optimal </t>
  </si>
  <si>
    <t xml:space="preserve">combination of inputs, based on our linkage to the underlying production function in the second order term.  </t>
  </si>
  <si>
    <t>Thus, for our optimal output level, we have the following optimal input combination:</t>
  </si>
  <si>
    <t>Q base =</t>
  </si>
  <si>
    <t>Op.Invent. =</t>
  </si>
  <si>
    <t>Total Q =</t>
  </si>
  <si>
    <t xml:space="preserve">Where does this leave our inventory model?  Basically, as long as we postulate that the level of demand is known </t>
  </si>
  <si>
    <t xml:space="preserve">with certainty, there is no reason for a firm to adopt an inventory to sales rule.  Let us thus now incorporate the role </t>
  </si>
  <si>
    <t xml:space="preserve">of uncertainty in market demand from which we can then see more clearly the role of the firm's production function </t>
  </si>
  <si>
    <t>and inventory choice on profitability.</t>
  </si>
  <si>
    <t>F.  Simultaneous Determination of Profit Maximization under Random Demand</t>
  </si>
  <si>
    <t xml:space="preserve">Let us now go back to the original model of market demand and supply.  As we do so, we drop the assumption </t>
  </si>
  <si>
    <t>Intercept: a</t>
  </si>
  <si>
    <t>Price</t>
  </si>
  <si>
    <t>Profit/Loss</t>
  </si>
  <si>
    <t xml:space="preserve"> = average number of orders</t>
  </si>
  <si>
    <t>Day</t>
  </si>
  <si>
    <t>Factorial</t>
  </si>
  <si>
    <t>P(x) =</t>
  </si>
  <si>
    <t>CumPr(x)=</t>
  </si>
  <si>
    <t>Mean:</t>
  </si>
  <si>
    <t>Std.Dev.</t>
  </si>
  <si>
    <t>Coeff.Var.</t>
  </si>
  <si>
    <t>Table 5</t>
  </si>
  <si>
    <t>Estimated Intercept Regression Output</t>
  </si>
  <si>
    <t>Coefficient</t>
  </si>
  <si>
    <t>Constant</t>
  </si>
  <si>
    <t>std.error</t>
  </si>
  <si>
    <t>R^q</t>
  </si>
  <si>
    <t>F</t>
  </si>
  <si>
    <t>d.f.</t>
  </si>
  <si>
    <t>Re-estimated Demand Intercept</t>
  </si>
  <si>
    <t>t</t>
  </si>
  <si>
    <t xml:space="preserve">We now insert the random values from Table 4 to re-calculate the estimated intercept and corresponding </t>
  </si>
  <si>
    <t>profit maximizing equilibrium:</t>
  </si>
  <si>
    <t>Table 6</t>
  </si>
  <si>
    <t>Re-Estimated Monopolistic Outcomes from Random Demand Fluctuations</t>
  </si>
  <si>
    <t>Re-estimated</t>
  </si>
  <si>
    <t xml:space="preserve">As can be seen from the comparison of results in Table 6 with those in Table 4, it looks as though the mean profit </t>
  </si>
  <si>
    <t xml:space="preserve">level is greater and the variation is smaller. However, this exercise leaves us at about the same place as when we </t>
  </si>
  <si>
    <t xml:space="preserve">just took a random level of demand, which just confirms the random nature of the variation in demand.  Thus, in  </t>
  </si>
  <si>
    <t xml:space="preserve">Table 4, the firm is losing money in 60 percent of the cases, and in 50 percent of the second.  If our sample size </t>
  </si>
  <si>
    <t>were sufficiently large, random fluctuations in demand would generate losses half of each outcome.   This is not</t>
  </si>
  <si>
    <t>F.1 Equilibrium of the Competitive Firm Under Random Demand</t>
  </si>
  <si>
    <t xml:space="preserve">      With our random total and marginal revenue functions, we now derive the firm's deterministic total and  marginal</t>
  </si>
  <si>
    <t>cost functions, and by setting marginal revenue equal to marginal cost, derive the firm's profit maximizing level</t>
  </si>
  <si>
    <t xml:space="preserve">of output, the firm's profit maximizing price, and total profit level. In this model, we a treating the market structure </t>
  </si>
  <si>
    <t xml:space="preserve">as a competitive one, even though the impact of random demand would be just as significant under imperfect competition.  </t>
  </si>
  <si>
    <t>We use here a simple target inventory-to-sales ratio rule in which all output is sold.</t>
  </si>
  <si>
    <t>( Equation 4.) Deterministic Annual Total Cost</t>
  </si>
  <si>
    <t>Q             +</t>
  </si>
  <si>
    <t>(Equation 5.) Deterministic Marginal Cost</t>
  </si>
  <si>
    <t>Random Demand Output:  Qe = (MR=MC) =</t>
  </si>
  <si>
    <t xml:space="preserve">  =</t>
  </si>
  <si>
    <t xml:space="preserve"> +</t>
  </si>
  <si>
    <t>Q(1+ IR)</t>
  </si>
  <si>
    <t>leading to an adjusted Total Cost of:</t>
  </si>
  <si>
    <t>that is used</t>
  </si>
  <si>
    <t>Basic Output =</t>
  </si>
  <si>
    <t xml:space="preserve"> to compute profitability below.  Under the random demand model, the competitive firm's profit level can now be </t>
  </si>
  <si>
    <t>determined as:</t>
  </si>
  <si>
    <t>Competitive Firm Random  Total Revenue</t>
  </si>
  <si>
    <t>Competitive Firm  Total Cost</t>
  </si>
  <si>
    <t>Competitive Firm Random Profit</t>
  </si>
  <si>
    <t>As any number of simulations should make clear, under the base case model, our competitive firm winds up with</t>
  </si>
  <si>
    <t xml:space="preserve">an unprofitable output at least half of the time, thus pointing out the importance of its management of production </t>
  </si>
  <si>
    <t xml:space="preserve">and inventory decisions. Let us now link the production and inventory variants to see if better management produces </t>
  </si>
  <si>
    <t>Solver:</t>
  </si>
  <si>
    <t>an improved level of performance.</t>
  </si>
  <si>
    <t>Optimal Q=</t>
  </si>
  <si>
    <t>Firm's Total Cost Function:</t>
  </si>
  <si>
    <t>b=</t>
  </si>
  <si>
    <t>c=</t>
  </si>
  <si>
    <t>Solution LHS=</t>
  </si>
  <si>
    <t>Limit LHS=</t>
  </si>
  <si>
    <t>5.d</t>
  </si>
  <si>
    <t>Individual Firm's Marginal Cost Function:</t>
  </si>
  <si>
    <t>6.d</t>
  </si>
  <si>
    <t>Firm's Recomputed Equilibrium=(MR=MC)=</t>
  </si>
  <si>
    <t xml:space="preserve">      =</t>
  </si>
  <si>
    <t xml:space="preserve">           +</t>
  </si>
  <si>
    <r>
      <t xml:space="preserve">Unit Ordering Cost, </t>
    </r>
    <r>
      <rPr>
        <b/>
        <sz val="12"/>
        <rFont val="Helv"/>
        <family val="0"/>
      </rPr>
      <t>K =</t>
    </r>
  </si>
  <si>
    <r>
      <t xml:space="preserve">Unit Holding Cost, </t>
    </r>
    <r>
      <rPr>
        <b/>
        <sz val="12"/>
        <rFont val="Helv"/>
        <family val="0"/>
      </rPr>
      <t>H =</t>
    </r>
  </si>
  <si>
    <t xml:space="preserve"> from the simulation tableau, and  from equation 13</t>
  </si>
  <si>
    <r>
      <t xml:space="preserve">Market Demand, </t>
    </r>
    <r>
      <rPr>
        <b/>
        <sz val="12"/>
        <rFont val="Helv"/>
        <family val="0"/>
      </rPr>
      <t>D =</t>
    </r>
  </si>
  <si>
    <t xml:space="preserve"> based on the firm's underlying production and cost functions</t>
  </si>
  <si>
    <t xml:space="preserve"> from which we derive Q*.  </t>
  </si>
  <si>
    <t xml:space="preserve"> which is the firm's basic output level.</t>
  </si>
  <si>
    <t>Derived optimal Inventory to Sales Ratio:</t>
  </si>
  <si>
    <t xml:space="preserve"> as a function of its ordering and holding costs  </t>
  </si>
  <si>
    <t>rather than as an arbitrary inventory to sales ratio.</t>
  </si>
  <si>
    <t>Inventory Costs are now set at:</t>
  </si>
  <si>
    <t>, which yields an adjusted Total Fixed Cost of:</t>
  </si>
  <si>
    <t xml:space="preserve"> so that:</t>
  </si>
  <si>
    <t>4.d.1</t>
  </si>
  <si>
    <t xml:space="preserve"> Optimal Inventory Total Cost Function:</t>
  </si>
  <si>
    <t>Q          +</t>
  </si>
  <si>
    <t>Competitive Firm Total Cost</t>
  </si>
  <si>
    <t>and in which optimal inputs are set at:</t>
  </si>
  <si>
    <t>Total Q=</t>
  </si>
  <si>
    <t>Base Q =</t>
  </si>
  <si>
    <t xml:space="preserve">new orders are some fraction of the preceding period's inventory. To simplify our calculations, we will assume that </t>
  </si>
  <si>
    <t xml:space="preserve">the firm is in a competitive industry, in which case an exogenous price is subject to random fluctuations, and for </t>
  </si>
  <si>
    <t>which the firm must adopt a profit maximizing level of output.</t>
  </si>
  <si>
    <t>Table 7</t>
  </si>
  <si>
    <t>Variable</t>
  </si>
  <si>
    <t>Simulation Value</t>
  </si>
  <si>
    <t>Base Case</t>
  </si>
  <si>
    <t>Competitive  Deterministic Daily Price Level</t>
  </si>
  <si>
    <t>Production Order Unit Level</t>
  </si>
  <si>
    <t>Production (Pd(t)) to Inventory (In(t-1)) Ratio</t>
  </si>
  <si>
    <t>Initial Storage Capacity</t>
  </si>
  <si>
    <t>Daily Storage Average Capacity Use Rate</t>
  </si>
  <si>
    <t>Initial Inventory</t>
  </si>
  <si>
    <t>Storage Capacity Capital Asset Life, in years</t>
  </si>
  <si>
    <t>Storage Capacity Capital Cost per 100 units</t>
  </si>
  <si>
    <t>Storage Capacity Capital Cost</t>
  </si>
  <si>
    <t>Monthly Capital Cost Recovery Factor</t>
  </si>
  <si>
    <t>Daily Inventory Level</t>
  </si>
  <si>
    <t>Monthly Total Fixed Cost</t>
  </si>
  <si>
    <t>First Order Variable Cost Term</t>
  </si>
  <si>
    <t>Second Order Variable Cost Term</t>
  </si>
  <si>
    <r>
      <t>Q</t>
    </r>
    <r>
      <rPr>
        <b/>
        <vertAlign val="superscript"/>
        <sz val="18"/>
        <rFont val="Helv"/>
        <family val="0"/>
      </rPr>
      <t>2</t>
    </r>
  </si>
  <si>
    <t>Monthly Production Rate</t>
  </si>
  <si>
    <t>Total Revenue</t>
  </si>
  <si>
    <t>Rate of Return on Sales</t>
  </si>
  <si>
    <t>Rate of Return on Invested Capital</t>
  </si>
  <si>
    <t xml:space="preserve">     From the simulation tableau above, the control variables are the sales to inventory ratio, the capital storage level, </t>
  </si>
  <si>
    <t xml:space="preserve">as well as improved control over variable costs.  All of these can be simulated from the tableau above, as can the </t>
  </si>
  <si>
    <t xml:space="preserve">                   which further reduces to:</t>
  </si>
  <si>
    <t xml:space="preserve">Q                 +        </t>
  </si>
  <si>
    <t xml:space="preserve"> a trivial solution as long as the second exponent = 1</t>
  </si>
  <si>
    <t>Random Demand Profit Maximizing Price</t>
  </si>
  <si>
    <t>Random Total Revenue</t>
  </si>
  <si>
    <t>Deterministic Total Cost</t>
  </si>
  <si>
    <t>Random Profit</t>
  </si>
  <si>
    <t>Profit(rndm)=</t>
  </si>
  <si>
    <t xml:space="preserve">         A graphical portrayal of the firm's instantaneous adjustment to random demand is shown below in Figure 8, </t>
  </si>
  <si>
    <t>with a comparison to the deterministic level of demand.</t>
  </si>
  <si>
    <t>Base Total Revenue</t>
  </si>
  <si>
    <t>Base Total Cost</t>
  </si>
  <si>
    <t xml:space="preserve">     What does our random demand model show us?  First of all, even if we assume that firms can make an </t>
  </si>
  <si>
    <t xml:space="preserve">instantaneous adjustment in production to a sudden shift in demand, there is no guarantee that the firm will </t>
  </si>
  <si>
    <t xml:space="preserve">make a profit from one iteration to another.  What then should the firm consider as a profit maximizing strategy? </t>
  </si>
  <si>
    <t>One answer is to look for systemic changes in demand to determine if on average the firm can wind up in a</t>
  </si>
  <si>
    <t xml:space="preserve">profit maximizing equilibrium.  Another is to adopt strategies to improve technical efficiency, i.e., reduce its </t>
  </si>
  <si>
    <t>costs within the boundaries of profit maximizing opportunities.</t>
  </si>
  <si>
    <t>G.  Estimating Uncertain Demand</t>
  </si>
  <si>
    <t xml:space="preserve">        How does a firm adopt profit maximizing strategies in the face of uncertain demand?  Let us first examine</t>
  </si>
  <si>
    <t xml:space="preserve">the results for ten simulations, as is shown in Table 4. What these simulations show is that while the relative </t>
  </si>
  <si>
    <t xml:space="preserve">variation (i.e., the coefficient of variation) is fairly uniform across the random number sequence, the demand </t>
  </si>
  <si>
    <t>intercept term, and the profit maximizing quantity and price, there is much greater variation in the resulting profit</t>
  </si>
  <si>
    <t>and loss equlibrium of the firm.</t>
  </si>
  <si>
    <t xml:space="preserve">        Under such a high degree of uncertainty, one alternative would be to estimate a regression equation of</t>
  </si>
  <si>
    <t xml:space="preserve"> the random demand function from which the firm could adopt a stationary profit maximizing equilibrium.  We set </t>
  </si>
  <si>
    <t xml:space="preserve">aside for the moment the fact that the equation may have been estimated from a primary data set in order to </t>
  </si>
  <si>
    <t>concentrate on the impact of random demand fluctuations, given that the mean outcome is expected to generate</t>
  </si>
  <si>
    <t>a positive profit equilibrium.  For this purpose, we re-estimate the demand intercept term as a function of the</t>
  </si>
  <si>
    <t>random number sequence to derive equation 15 below.</t>
  </si>
  <si>
    <t>Table 4</t>
  </si>
  <si>
    <t>Alternative Monopolistic Outcomes from Random Demand Fluctuations</t>
  </si>
  <si>
    <t>Random</t>
  </si>
  <si>
    <t>Demand</t>
  </si>
  <si>
    <t>Profit Maximal</t>
  </si>
  <si>
    <t>Equilibrium</t>
  </si>
  <si>
    <t>Poisson Lookup Table</t>
  </si>
  <si>
    <t>P(x) = (A^x)(e^-A)/x!</t>
  </si>
  <si>
    <t>Number</t>
  </si>
  <si>
    <t xml:space="preserve">in interest rates, and a change in the price of capital goods.  The effects of higher values of the following variables on </t>
  </si>
  <si>
    <t>profitability are summarized below.</t>
  </si>
  <si>
    <t xml:space="preserve">   Table 8</t>
  </si>
  <si>
    <t xml:space="preserve">Effect on Profitability from an Increase in Selected Control Variables                         </t>
  </si>
  <si>
    <t>Daily Price Level</t>
  </si>
  <si>
    <t>Positive</t>
  </si>
  <si>
    <t>Negative</t>
  </si>
  <si>
    <t>Production to Inventory Decision Ratio</t>
  </si>
  <si>
    <t>Daily Average Capacity Use Rate</t>
  </si>
  <si>
    <t>Capital Asset Storage Life, in Years</t>
  </si>
  <si>
    <t>Storage Capacity</t>
  </si>
  <si>
    <t>Table 9</t>
  </si>
  <si>
    <t>Production with Inventory Variations under Random Demand</t>
  </si>
  <si>
    <t>Production</t>
  </si>
  <si>
    <t>Random No.</t>
  </si>
  <si>
    <t>Rounded</t>
  </si>
  <si>
    <t>Units Shipped</t>
  </si>
  <si>
    <t>Missed Sales</t>
  </si>
  <si>
    <t xml:space="preserve"> Orders</t>
  </si>
  <si>
    <r>
      <t>(=Random</t>
    </r>
    <r>
      <rPr>
        <b/>
        <sz val="9"/>
        <rFont val="Helv"/>
        <family val="0"/>
      </rPr>
      <t>x</t>
    </r>
    <r>
      <rPr>
        <b/>
        <sz val="12"/>
        <rFont val="Helv"/>
        <family val="0"/>
      </rPr>
      <t>10000)</t>
    </r>
  </si>
  <si>
    <t>Totals:</t>
  </si>
  <si>
    <t>Daily Av:</t>
  </si>
  <si>
    <t xml:space="preserve">     Where does this leave us with regard to the allocation of resources in the presence of uncertainty?  While there</t>
  </si>
  <si>
    <t>are obvious choices that one can make to assess the level and range of uncertainty, how one responds is largely a</t>
  </si>
  <si>
    <t>function of one's attitude toward risk.  Diversification of choices is a standad approach to the management of risk, but</t>
  </si>
  <si>
    <t>there is no single solution to the question of risk unless one has incorporated a priori values regarding one's risk</t>
  </si>
  <si>
    <t xml:space="preserve">preferences.  </t>
  </si>
  <si>
    <t>Round No.Orders</t>
  </si>
  <si>
    <t>(=Randomx10000)</t>
  </si>
  <si>
    <t>© 1999</t>
  </si>
  <si>
    <t>to say that all fluctuations are random.  When they are not, then re-estimating the demand function can lead to</t>
  </si>
  <si>
    <t xml:space="preserve">better profit maximizing outcomes.  In fact, we would reduce the variation in outcomes as we continued to </t>
  </si>
  <si>
    <t xml:space="preserve">re-estimate the intercept, but we would also be eliminating the true impact of the random demand.  Since we have </t>
  </si>
  <si>
    <t xml:space="preserve">stated that our demand fluctuations are truly random, this means that there is no systemic basis from which to </t>
  </si>
  <si>
    <t xml:space="preserve">derive alternative choices.  The only way to eliminate this effect would be by a change in the deterministic </t>
  </si>
  <si>
    <t xml:space="preserve">demand intercept, or in the random number adjustment coefficient. Thus, we now turn to the supply side and the </t>
  </si>
  <si>
    <t>management of costs.</t>
  </si>
  <si>
    <t>H.  Cost Management Alternatives of the Monopolist in the Face of Uncertain Demand</t>
  </si>
  <si>
    <t xml:space="preserve">       If a firm has an idea of the range of uncertain demand fluctuations, then this provides a boundary from which</t>
  </si>
  <si>
    <t xml:space="preserve">to consider cost-management alternatives. It turns out that in the absence of any change in the deterministic </t>
  </si>
  <si>
    <t>demand curve intercept and in the absence of any change in the random number adjustment coefficient, the maximum</t>
  </si>
  <si>
    <t>loss that could be incurred is :</t>
  </si>
  <si>
    <t>This then sets the stage for looking at the range of</t>
  </si>
  <si>
    <t xml:space="preserve">choices to reduce the firm's total cost function.  As we do so, we will also relax the assumption that the firm </t>
  </si>
  <si>
    <t>can make instantaneous adjustments in it profit-maximizing level of output, since this rarely holds true in most</t>
  </si>
  <si>
    <t>real world situations.</t>
  </si>
  <si>
    <t xml:space="preserve">         If we relax the assumption of instantaneous adjustment in output in response to random fluctuations in demand, </t>
  </si>
  <si>
    <t xml:space="preserve">we now enter a discrete choice universe in which a firm can make periodic adjustments in output and in its capital </t>
  </si>
  <si>
    <t xml:space="preserve">fixed cost storage capacity.  To do so, we now break down our cost and production model into a daily level of </t>
  </si>
  <si>
    <t xml:space="preserve">random demand.  As we do so, we allow for variations in inventory, consumer orders (or demand), and production </t>
  </si>
  <si>
    <t>orders, which are given in discrete multiple lots.</t>
  </si>
  <si>
    <t xml:space="preserve">        Consider a model in which production is given in discrete orders of units, and in which production is driven by </t>
  </si>
  <si>
    <t xml:space="preserve">the level of missed sales from the preceding day's inventory depletion.  Daily demand is random, and thus the </t>
  </si>
  <si>
    <t xml:space="preserve">management problem is focused on the type of production decision and the level of storage capacity of the firm.  </t>
  </si>
  <si>
    <t xml:space="preserve">A production order is determined whenever the preceding period's inventory has been depleted, or in which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</si>
</sst>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&quot;$&quot;#,##0.00;[Red]\(&quot;$&quot;#,##0.00\)"/>
    <numFmt numFmtId="167" formatCode="0.\ "/>
    <numFmt numFmtId="168" formatCode="&quot;$&quot;#,###;[Red]\(&quot;$&quot;#,##0.00\)"/>
    <numFmt numFmtId="169" formatCode="0.0000000"/>
    <numFmt numFmtId="170" formatCode="[Red]0%0%"/>
    <numFmt numFmtId="171" formatCode="[Red].00%"/>
    <numFmt numFmtId="172" formatCode="[Red].00%.00%"/>
    <numFmt numFmtId="173" formatCode="0.00%;[Red]0.00%"/>
    <numFmt numFmtId="174" formatCode="0.00%;[Red]\-0.00%"/>
    <numFmt numFmtId="175" formatCode="&quot;$&quot;#,##0.00;[Red]\-&quot;$&quot;#,##0.00"/>
    <numFmt numFmtId="176" formatCode="[Blue]&quot;$&quot;#,##0.00;[Red]\-&quot;$&quot;#,##0.00"/>
    <numFmt numFmtId="177" formatCode="[Blue]0.00%;[Red]\-0.00%"/>
    <numFmt numFmtId="178" formatCode="&quot;$&quot;#,###;[Red]\-&quot;$&quot;#,##0.00"/>
    <numFmt numFmtId="179" formatCode="&quot;$&quot;#,##0.0000;[Red]\-&quot;$&quot;#,##0.00"/>
    <numFmt numFmtId="180" formatCode="&quot;$&quot;#,###;\(&quot;$&quot;#,##0\)"/>
    <numFmt numFmtId="181" formatCode="&quot;$&quot;#,##0.00;\-&quot;$&quot;#,##0.00"/>
    <numFmt numFmtId="182" formatCode="0.0"/>
    <numFmt numFmtId="183" formatCode="&quot;$&quot;#,##0.00;\-&quot;$&quot;#,###"/>
  </numFmts>
  <fonts count="2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9"/>
      <name val="Helv"/>
      <family val="0"/>
    </font>
    <font>
      <sz val="9"/>
      <name val="Helv"/>
      <family val="0"/>
    </font>
    <font>
      <b/>
      <sz val="9"/>
      <name val="Geneva"/>
      <family val="0"/>
    </font>
    <font>
      <sz val="12"/>
      <name val="Helv"/>
      <family val="0"/>
    </font>
    <font>
      <b/>
      <sz val="12"/>
      <name val="Symbol"/>
      <family val="0"/>
    </font>
    <font>
      <b/>
      <sz val="14"/>
      <name val="Helv"/>
      <family val="0"/>
    </font>
    <font>
      <sz val="12"/>
      <name val="Geneva"/>
      <family val="0"/>
    </font>
    <font>
      <b/>
      <sz val="12"/>
      <name val="Geneva"/>
      <family val="0"/>
    </font>
    <font>
      <b/>
      <vertAlign val="superscript"/>
      <sz val="18"/>
      <name val="Helv"/>
      <family val="0"/>
    </font>
    <font>
      <b/>
      <i/>
      <sz val="12"/>
      <name val="Helv"/>
      <family val="0"/>
    </font>
    <font>
      <b/>
      <u val="single"/>
      <sz val="12"/>
      <name val="Geneva"/>
      <family val="0"/>
    </font>
    <font>
      <b/>
      <sz val="10"/>
      <color indexed="12"/>
      <name val="Helv"/>
      <family val="0"/>
    </font>
    <font>
      <b/>
      <sz val="14"/>
      <color indexed="12"/>
      <name val="Helv"/>
      <family val="0"/>
    </font>
    <font>
      <b/>
      <sz val="10"/>
      <color indexed="12"/>
      <name val="Geneva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7" fillId="0" borderId="2" xfId="0" applyFont="1" applyBorder="1" applyAlignment="1">
      <alignment horizontal="right"/>
    </xf>
    <xf numFmtId="167" fontId="4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167" fontId="8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2" fontId="7" fillId="0" borderId="0" xfId="0" applyNumberFormat="1" applyFont="1" applyAlignment="1">
      <alignment horizontal="right"/>
    </xf>
    <xf numFmtId="0" fontId="7" fillId="0" borderId="6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169" fontId="8" fillId="0" borderId="7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169" fontId="8" fillId="0" borderId="8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6" xfId="0" applyFont="1" applyBorder="1" applyAlignment="1">
      <alignment horizontal="right"/>
    </xf>
    <xf numFmtId="165" fontId="7" fillId="0" borderId="6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/>
    </xf>
    <xf numFmtId="1" fontId="8" fillId="0" borderId="5" xfId="0" applyNumberFormat="1" applyFont="1" applyBorder="1" applyAlignment="1">
      <alignment/>
    </xf>
    <xf numFmtId="167" fontId="7" fillId="0" borderId="3" xfId="0" applyNumberFormat="1" applyFont="1" applyBorder="1" applyAlignment="1">
      <alignment horizontal="right"/>
    </xf>
    <xf numFmtId="1" fontId="7" fillId="0" borderId="5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/>
    </xf>
    <xf numFmtId="167" fontId="7" fillId="0" borderId="11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/>
    </xf>
    <xf numFmtId="0" fontId="8" fillId="0" borderId="7" xfId="0" applyFont="1" applyBorder="1" applyAlignment="1">
      <alignment/>
    </xf>
    <xf numFmtId="165" fontId="8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/>
    </xf>
    <xf numFmtId="0" fontId="7" fillId="0" borderId="7" xfId="0" applyFont="1" applyBorder="1" applyAlignment="1">
      <alignment horizontal="right"/>
    </xf>
    <xf numFmtId="0" fontId="9" fillId="0" borderId="7" xfId="0" applyFont="1" applyBorder="1" applyAlignment="1">
      <alignment/>
    </xf>
    <xf numFmtId="1" fontId="7" fillId="0" borderId="7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/>
    </xf>
    <xf numFmtId="1" fontId="7" fillId="0" borderId="4" xfId="0" applyNumberFormat="1" applyFont="1" applyBorder="1" applyAlignment="1">
      <alignment/>
    </xf>
    <xf numFmtId="1" fontId="8" fillId="0" borderId="8" xfId="0" applyNumberFormat="1" applyFont="1" applyBorder="1" applyAlignment="1">
      <alignment/>
    </xf>
    <xf numFmtId="0" fontId="8" fillId="0" borderId="8" xfId="0" applyFont="1" applyBorder="1" applyAlignment="1">
      <alignment/>
    </xf>
    <xf numFmtId="165" fontId="8" fillId="0" borderId="8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2" fontId="7" fillId="0" borderId="13" xfId="0" applyNumberFormat="1" applyFont="1" applyBorder="1" applyAlignment="1">
      <alignment/>
    </xf>
    <xf numFmtId="10" fontId="7" fillId="0" borderId="0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1" fontId="5" fillId="0" borderId="3" xfId="0" applyNumberFormat="1" applyFont="1" applyBorder="1" applyAlignment="1">
      <alignment horizontal="right"/>
    </xf>
    <xf numFmtId="167" fontId="7" fillId="0" borderId="14" xfId="0" applyNumberFormat="1" applyFont="1" applyBorder="1" applyAlignment="1">
      <alignment horizontal="center"/>
    </xf>
    <xf numFmtId="165" fontId="4" fillId="0" borderId="0" xfId="0" applyNumberFormat="1" applyFont="1" applyAlignment="1">
      <alignment/>
    </xf>
    <xf numFmtId="2" fontId="5" fillId="0" borderId="15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0" fontId="10" fillId="0" borderId="0" xfId="0" applyFont="1" applyAlignment="1">
      <alignment/>
    </xf>
    <xf numFmtId="167" fontId="10" fillId="0" borderId="0" xfId="0" applyNumberFormat="1" applyFont="1" applyAlignment="1">
      <alignment/>
    </xf>
    <xf numFmtId="0" fontId="6" fillId="0" borderId="0" xfId="0" applyFont="1" applyAlignment="1">
      <alignment/>
    </xf>
    <xf numFmtId="175" fontId="4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5" fillId="0" borderId="16" xfId="0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6" xfId="0" applyBorder="1" applyAlignment="1">
      <alignment/>
    </xf>
    <xf numFmtId="0" fontId="4" fillId="0" borderId="9" xfId="0" applyFont="1" applyBorder="1" applyAlignment="1">
      <alignment/>
    </xf>
    <xf numFmtId="2" fontId="4" fillId="0" borderId="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6" fontId="5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0" fontId="5" fillId="0" borderId="0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right"/>
    </xf>
    <xf numFmtId="2" fontId="5" fillId="0" borderId="9" xfId="0" applyNumberFormat="1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2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5" fillId="0" borderId="0" xfId="0" applyFont="1" applyAlignment="1">
      <alignment horizontal="left"/>
    </xf>
    <xf numFmtId="166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/>
    </xf>
    <xf numFmtId="2" fontId="5" fillId="0" borderId="1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2" fontId="5" fillId="0" borderId="21" xfId="0" applyNumberFormat="1" applyFont="1" applyBorder="1" applyAlignment="1">
      <alignment horizontal="center"/>
    </xf>
    <xf numFmtId="175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10" fillId="0" borderId="0" xfId="0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175" fontId="5" fillId="0" borderId="3" xfId="0" applyNumberFormat="1" applyFont="1" applyBorder="1" applyAlignment="1">
      <alignment/>
    </xf>
    <xf numFmtId="166" fontId="5" fillId="0" borderId="3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167" fontId="5" fillId="0" borderId="0" xfId="0" applyNumberFormat="1" applyFont="1" applyAlignment="1">
      <alignment horizontal="right"/>
    </xf>
    <xf numFmtId="181" fontId="4" fillId="0" borderId="5" xfId="0" applyNumberFormat="1" applyFont="1" applyBorder="1" applyAlignment="1">
      <alignment/>
    </xf>
    <xf numFmtId="181" fontId="5" fillId="0" borderId="2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7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5" fillId="0" borderId="24" xfId="0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0" fontId="0" fillId="0" borderId="3" xfId="0" applyBorder="1" applyAlignment="1">
      <alignment horizontal="right"/>
    </xf>
    <xf numFmtId="181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181" fontId="4" fillId="0" borderId="5" xfId="0" applyNumberFormat="1" applyFont="1" applyBorder="1" applyAlignment="1">
      <alignment horizontal="left"/>
    </xf>
    <xf numFmtId="181" fontId="4" fillId="0" borderId="0" xfId="0" applyNumberFormat="1" applyFont="1" applyBorder="1" applyAlignment="1">
      <alignment/>
    </xf>
    <xf numFmtId="2" fontId="5" fillId="0" borderId="2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2" fontId="5" fillId="0" borderId="26" xfId="0" applyNumberFormat="1" applyFont="1" applyBorder="1" applyAlignment="1">
      <alignment horizontal="center"/>
    </xf>
    <xf numFmtId="181" fontId="5" fillId="0" borderId="27" xfId="0" applyNumberFormat="1" applyFont="1" applyBorder="1" applyAlignment="1">
      <alignment horizontal="center"/>
    </xf>
    <xf numFmtId="181" fontId="5" fillId="0" borderId="25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164" fontId="5" fillId="0" borderId="6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181" fontId="5" fillId="0" borderId="0" xfId="0" applyNumberFormat="1" applyFont="1" applyBorder="1" applyAlignment="1">
      <alignment horizontal="center"/>
    </xf>
    <xf numFmtId="181" fontId="4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10" fillId="0" borderId="6" xfId="0" applyFont="1" applyBorder="1" applyAlignment="1">
      <alignment/>
    </xf>
    <xf numFmtId="0" fontId="10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 horizontal="right"/>
    </xf>
    <xf numFmtId="167" fontId="10" fillId="0" borderId="28" xfId="0" applyNumberFormat="1" applyFont="1" applyBorder="1" applyAlignment="1">
      <alignment/>
    </xf>
    <xf numFmtId="167" fontId="5" fillId="0" borderId="29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10" fontId="4" fillId="0" borderId="31" xfId="0" applyNumberFormat="1" applyFont="1" applyBorder="1" applyAlignment="1">
      <alignment/>
    </xf>
    <xf numFmtId="10" fontId="4" fillId="0" borderId="32" xfId="0" applyNumberFormat="1" applyFont="1" applyBorder="1" applyAlignment="1">
      <alignment/>
    </xf>
    <xf numFmtId="10" fontId="4" fillId="0" borderId="33" xfId="0" applyNumberFormat="1" applyFont="1" applyBorder="1" applyAlignment="1">
      <alignment/>
    </xf>
    <xf numFmtId="10" fontId="4" fillId="0" borderId="34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2" fontId="4" fillId="0" borderId="34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5" fillId="0" borderId="35" xfId="0" applyFont="1" applyBorder="1" applyAlignment="1">
      <alignment horizontal="center"/>
    </xf>
    <xf numFmtId="0" fontId="6" fillId="0" borderId="6" xfId="0" applyFont="1" applyBorder="1" applyAlignment="1">
      <alignment/>
    </xf>
    <xf numFmtId="166" fontId="6" fillId="0" borderId="2" xfId="0" applyNumberFormat="1" applyFont="1" applyBorder="1" applyAlignment="1">
      <alignment/>
    </xf>
    <xf numFmtId="166" fontId="6" fillId="0" borderId="6" xfId="0" applyNumberFormat="1" applyFont="1" applyBorder="1" applyAlignment="1">
      <alignment/>
    </xf>
    <xf numFmtId="0" fontId="0" fillId="0" borderId="11" xfId="0" applyBorder="1" applyAlignment="1">
      <alignment/>
    </xf>
    <xf numFmtId="2" fontId="1" fillId="0" borderId="6" xfId="0" applyNumberFormat="1" applyFont="1" applyBorder="1" applyAlignment="1">
      <alignment/>
    </xf>
    <xf numFmtId="0" fontId="0" fillId="0" borderId="9" xfId="0" applyBorder="1" applyAlignment="1">
      <alignment/>
    </xf>
    <xf numFmtId="0" fontId="1" fillId="0" borderId="3" xfId="0" applyFont="1" applyBorder="1" applyAlignment="1">
      <alignment horizontal="right"/>
    </xf>
    <xf numFmtId="0" fontId="0" fillId="0" borderId="5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181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167" fontId="6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3" xfId="0" applyBorder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0" fontId="6" fillId="0" borderId="24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75" fontId="5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81" fontId="5" fillId="0" borderId="15" xfId="0" applyNumberFormat="1" applyFont="1" applyBorder="1" applyAlignment="1">
      <alignment/>
    </xf>
    <xf numFmtId="2" fontId="5" fillId="0" borderId="36" xfId="0" applyNumberFormat="1" applyFont="1" applyBorder="1" applyAlignment="1">
      <alignment/>
    </xf>
    <xf numFmtId="0" fontId="7" fillId="0" borderId="16" xfId="0" applyFont="1" applyBorder="1" applyAlignment="1">
      <alignment horizontal="right"/>
    </xf>
    <xf numFmtId="2" fontId="7" fillId="0" borderId="15" xfId="0" applyNumberFormat="1" applyFont="1" applyBorder="1" applyAlignment="1">
      <alignment/>
    </xf>
    <xf numFmtId="181" fontId="7" fillId="0" borderId="1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13" fillId="0" borderId="0" xfId="0" applyFont="1" applyAlignment="1">
      <alignment/>
    </xf>
    <xf numFmtId="2" fontId="6" fillId="0" borderId="14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2" fontId="6" fillId="0" borderId="32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81" fontId="5" fillId="0" borderId="0" xfId="0" applyNumberFormat="1" applyFont="1" applyAlignment="1">
      <alignment horizontal="right"/>
    </xf>
    <xf numFmtId="167" fontId="10" fillId="0" borderId="11" xfId="0" applyNumberFormat="1" applyFont="1" applyBorder="1" applyAlignment="1">
      <alignment/>
    </xf>
    <xf numFmtId="167" fontId="10" fillId="0" borderId="4" xfId="0" applyNumberFormat="1" applyFont="1" applyBorder="1" applyAlignment="1">
      <alignment/>
    </xf>
    <xf numFmtId="167" fontId="10" fillId="0" borderId="23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23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6" fillId="0" borderId="1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left"/>
    </xf>
    <xf numFmtId="0" fontId="11" fillId="0" borderId="37" xfId="0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38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2" fontId="6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81" fontId="6" fillId="0" borderId="2" xfId="0" applyNumberFormat="1" applyFont="1" applyBorder="1" applyAlignment="1">
      <alignment/>
    </xf>
    <xf numFmtId="0" fontId="6" fillId="0" borderId="10" xfId="0" applyFont="1" applyBorder="1" applyAlignment="1">
      <alignment/>
    </xf>
    <xf numFmtId="166" fontId="6" fillId="0" borderId="2" xfId="0" applyNumberFormat="1" applyFont="1" applyBorder="1" applyAlignment="1">
      <alignment horizontal="right"/>
    </xf>
    <xf numFmtId="181" fontId="6" fillId="0" borderId="1" xfId="0" applyNumberFormat="1" applyFont="1" applyBorder="1" applyAlignment="1">
      <alignment/>
    </xf>
    <xf numFmtId="181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2" fontId="10" fillId="0" borderId="39" xfId="0" applyNumberFormat="1" applyFont="1" applyBorder="1" applyAlignment="1">
      <alignment/>
    </xf>
    <xf numFmtId="2" fontId="10" fillId="0" borderId="39" xfId="0" applyNumberFormat="1" applyFont="1" applyBorder="1" applyAlignment="1">
      <alignment horizontal="center"/>
    </xf>
    <xf numFmtId="181" fontId="10" fillId="0" borderId="36" xfId="0" applyNumberFormat="1" applyFont="1" applyBorder="1" applyAlignment="1">
      <alignment/>
    </xf>
    <xf numFmtId="2" fontId="10" fillId="0" borderId="18" xfId="0" applyNumberFormat="1" applyFont="1" applyBorder="1" applyAlignment="1">
      <alignment horizontal="right"/>
    </xf>
    <xf numFmtId="181" fontId="10" fillId="0" borderId="36" xfId="0" applyNumberFormat="1" applyFont="1" applyBorder="1" applyAlignment="1">
      <alignment/>
    </xf>
    <xf numFmtId="2" fontId="10" fillId="0" borderId="12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 horizontal="center"/>
    </xf>
    <xf numFmtId="181" fontId="10" fillId="0" borderId="15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/>
    </xf>
    <xf numFmtId="181" fontId="10" fillId="0" borderId="15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2" fontId="10" fillId="0" borderId="16" xfId="0" applyNumberFormat="1" applyFont="1" applyBorder="1" applyAlignment="1">
      <alignment horizontal="right"/>
    </xf>
    <xf numFmtId="181" fontId="10" fillId="0" borderId="15" xfId="0" applyNumberFormat="1" applyFont="1" applyBorder="1" applyAlignment="1">
      <alignment/>
    </xf>
    <xf numFmtId="2" fontId="10" fillId="0" borderId="40" xfId="0" applyNumberFormat="1" applyFont="1" applyBorder="1" applyAlignment="1">
      <alignment/>
    </xf>
    <xf numFmtId="2" fontId="10" fillId="0" borderId="40" xfId="0" applyNumberFormat="1" applyFont="1" applyBorder="1" applyAlignment="1">
      <alignment horizontal="center"/>
    </xf>
    <xf numFmtId="181" fontId="10" fillId="0" borderId="41" xfId="0" applyNumberFormat="1" applyFont="1" applyBorder="1" applyAlignment="1">
      <alignment/>
    </xf>
    <xf numFmtId="2" fontId="10" fillId="0" borderId="38" xfId="0" applyNumberFormat="1" applyFont="1" applyBorder="1" applyAlignment="1">
      <alignment/>
    </xf>
    <xf numFmtId="181" fontId="10" fillId="0" borderId="41" xfId="0" applyNumberFormat="1" applyFont="1" applyBorder="1" applyAlignment="1">
      <alignment/>
    </xf>
    <xf numFmtId="0" fontId="10" fillId="0" borderId="18" xfId="0" applyFont="1" applyBorder="1" applyAlignment="1">
      <alignment/>
    </xf>
    <xf numFmtId="167" fontId="6" fillId="0" borderId="39" xfId="0" applyNumberFormat="1" applyFont="1" applyBorder="1" applyAlignment="1">
      <alignment horizontal="right"/>
    </xf>
    <xf numFmtId="2" fontId="6" fillId="0" borderId="36" xfId="0" applyNumberFormat="1" applyFont="1" applyBorder="1" applyAlignment="1">
      <alignment/>
    </xf>
    <xf numFmtId="0" fontId="6" fillId="0" borderId="37" xfId="0" applyFont="1" applyBorder="1" applyAlignment="1">
      <alignment horizontal="right"/>
    </xf>
    <xf numFmtId="2" fontId="6" fillId="0" borderId="15" xfId="0" applyNumberFormat="1" applyFont="1" applyBorder="1" applyAlignment="1">
      <alignment/>
    </xf>
    <xf numFmtId="181" fontId="6" fillId="0" borderId="15" xfId="0" applyNumberFormat="1" applyFont="1" applyBorder="1" applyAlignment="1">
      <alignment/>
    </xf>
    <xf numFmtId="10" fontId="6" fillId="0" borderId="15" xfId="0" applyNumberFormat="1" applyFont="1" applyBorder="1" applyAlignment="1">
      <alignment/>
    </xf>
    <xf numFmtId="0" fontId="6" fillId="0" borderId="12" xfId="0" applyFont="1" applyBorder="1" applyAlignment="1">
      <alignment horizontal="right"/>
    </xf>
    <xf numFmtId="180" fontId="6" fillId="0" borderId="15" xfId="0" applyNumberFormat="1" applyFont="1" applyBorder="1" applyAlignment="1">
      <alignment/>
    </xf>
    <xf numFmtId="167" fontId="6" fillId="0" borderId="12" xfId="0" applyNumberFormat="1" applyFont="1" applyBorder="1" applyAlignment="1">
      <alignment horizontal="right"/>
    </xf>
    <xf numFmtId="175" fontId="6" fillId="0" borderId="15" xfId="0" applyNumberFormat="1" applyFont="1" applyBorder="1" applyAlignment="1">
      <alignment horizontal="right"/>
    </xf>
    <xf numFmtId="167" fontId="6" fillId="0" borderId="37" xfId="0" applyNumberFormat="1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167" fontId="6" fillId="0" borderId="40" xfId="0" applyNumberFormat="1" applyFont="1" applyBorder="1" applyAlignment="1">
      <alignment horizontal="right"/>
    </xf>
    <xf numFmtId="175" fontId="6" fillId="0" borderId="41" xfId="0" applyNumberFormat="1" applyFont="1" applyBorder="1" applyAlignment="1">
      <alignment horizontal="right"/>
    </xf>
    <xf numFmtId="167" fontId="6" fillId="0" borderId="42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81" fontId="6" fillId="0" borderId="11" xfId="0" applyNumberFormat="1" applyFont="1" applyBorder="1" applyAlignment="1">
      <alignment/>
    </xf>
    <xf numFmtId="181" fontId="6" fillId="0" borderId="6" xfId="0" applyNumberFormat="1" applyFont="1" applyBorder="1" applyAlignment="1">
      <alignment horizontal="right"/>
    </xf>
    <xf numFmtId="181" fontId="6" fillId="0" borderId="4" xfId="0" applyNumberFormat="1" applyFont="1" applyBorder="1" applyAlignment="1">
      <alignment/>
    </xf>
    <xf numFmtId="181" fontId="6" fillId="0" borderId="2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 horizontal="center"/>
    </xf>
    <xf numFmtId="181" fontId="6" fillId="0" borderId="6" xfId="0" applyNumberFormat="1" applyFont="1" applyBorder="1" applyAlignment="1">
      <alignment horizontal="center"/>
    </xf>
    <xf numFmtId="181" fontId="6" fillId="0" borderId="6" xfId="0" applyNumberFormat="1" applyFont="1" applyBorder="1" applyAlignment="1">
      <alignment/>
    </xf>
    <xf numFmtId="181" fontId="6" fillId="0" borderId="2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67" fontId="14" fillId="0" borderId="0" xfId="0" applyNumberFormat="1" applyFont="1" applyAlignment="1">
      <alignment/>
    </xf>
    <xf numFmtId="166" fontId="6" fillId="0" borderId="19" xfId="0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166" fontId="6" fillId="0" borderId="9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81" fontId="6" fillId="0" borderId="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9" fontId="10" fillId="0" borderId="7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166" fontId="10" fillId="0" borderId="7" xfId="0" applyNumberFormat="1" applyFont="1" applyBorder="1" applyAlignment="1">
      <alignment horizontal="center"/>
    </xf>
    <xf numFmtId="166" fontId="10" fillId="0" borderId="5" xfId="0" applyNumberFormat="1" applyFont="1" applyBorder="1" applyAlignment="1">
      <alignment/>
    </xf>
    <xf numFmtId="169" fontId="10" fillId="0" borderId="8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166" fontId="10" fillId="0" borderId="8" xfId="0" applyNumberFormat="1" applyFont="1" applyBorder="1" applyAlignment="1">
      <alignment horizontal="center"/>
    </xf>
    <xf numFmtId="166" fontId="10" fillId="0" borderId="10" xfId="0" applyNumberFormat="1" applyFont="1" applyBorder="1" applyAlignment="1">
      <alignment/>
    </xf>
    <xf numFmtId="0" fontId="6" fillId="0" borderId="3" xfId="0" applyFont="1" applyBorder="1" applyAlignment="1">
      <alignment horizontal="right"/>
    </xf>
    <xf numFmtId="169" fontId="6" fillId="0" borderId="7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 horizontal="center"/>
    </xf>
    <xf numFmtId="166" fontId="6" fillId="0" borderId="5" xfId="0" applyNumberFormat="1" applyFont="1" applyBorder="1" applyAlignment="1">
      <alignment horizontal="right"/>
    </xf>
    <xf numFmtId="169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36" xfId="0" applyFont="1" applyBorder="1" applyAlignment="1">
      <alignment horizontal="left"/>
    </xf>
    <xf numFmtId="0" fontId="6" fillId="0" borderId="16" xfId="0" applyFont="1" applyBorder="1" applyAlignment="1">
      <alignment horizontal="right"/>
    </xf>
    <xf numFmtId="164" fontId="10" fillId="0" borderId="12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41" xfId="0" applyFont="1" applyBorder="1" applyAlignment="1">
      <alignment/>
    </xf>
    <xf numFmtId="0" fontId="6" fillId="0" borderId="6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10" fillId="0" borderId="2" xfId="0" applyFont="1" applyBorder="1" applyAlignment="1">
      <alignment/>
    </xf>
    <xf numFmtId="2" fontId="6" fillId="0" borderId="2" xfId="0" applyNumberFormat="1" applyFont="1" applyBorder="1" applyAlignment="1">
      <alignment/>
    </xf>
    <xf numFmtId="181" fontId="10" fillId="0" borderId="5" xfId="0" applyNumberFormat="1" applyFont="1" applyBorder="1" applyAlignment="1">
      <alignment/>
    </xf>
    <xf numFmtId="181" fontId="10" fillId="0" borderId="10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6" fillId="0" borderId="31" xfId="0" applyFont="1" applyBorder="1" applyAlignment="1">
      <alignment horizontal="right"/>
    </xf>
    <xf numFmtId="2" fontId="6" fillId="0" borderId="31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2" fontId="6" fillId="0" borderId="43" xfId="0" applyNumberFormat="1" applyFont="1" applyBorder="1" applyAlignment="1">
      <alignment horizontal="center"/>
    </xf>
    <xf numFmtId="10" fontId="16" fillId="0" borderId="43" xfId="0" applyNumberFormat="1" applyFont="1" applyBorder="1" applyAlignment="1">
      <alignment horizontal="center"/>
    </xf>
    <xf numFmtId="10" fontId="6" fillId="0" borderId="43" xfId="0" applyNumberFormat="1" applyFont="1" applyBorder="1" applyAlignment="1">
      <alignment/>
    </xf>
    <xf numFmtId="2" fontId="6" fillId="0" borderId="43" xfId="0" applyNumberFormat="1" applyFont="1" applyBorder="1" applyAlignment="1">
      <alignment/>
    </xf>
    <xf numFmtId="166" fontId="6" fillId="0" borderId="43" xfId="0" applyNumberFormat="1" applyFont="1" applyBorder="1" applyAlignment="1">
      <alignment/>
    </xf>
    <xf numFmtId="166" fontId="6" fillId="0" borderId="43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/>
    </xf>
    <xf numFmtId="0" fontId="6" fillId="0" borderId="43" xfId="0" applyFont="1" applyBorder="1" applyAlignment="1">
      <alignment horizontal="right"/>
    </xf>
    <xf numFmtId="2" fontId="6" fillId="0" borderId="43" xfId="0" applyNumberFormat="1" applyFont="1" applyBorder="1" applyAlignment="1">
      <alignment horizontal="right"/>
    </xf>
    <xf numFmtId="1" fontId="6" fillId="0" borderId="43" xfId="0" applyNumberFormat="1" applyFont="1" applyBorder="1" applyAlignment="1">
      <alignment horizontal="right"/>
    </xf>
    <xf numFmtId="165" fontId="6" fillId="0" borderId="43" xfId="0" applyNumberFormat="1" applyFont="1" applyBorder="1" applyAlignment="1">
      <alignment horizontal="right"/>
    </xf>
    <xf numFmtId="181" fontId="6" fillId="0" borderId="43" xfId="0" applyNumberFormat="1" applyFont="1" applyBorder="1" applyAlignment="1">
      <alignment horizontal="right"/>
    </xf>
    <xf numFmtId="167" fontId="10" fillId="0" borderId="2" xfId="0" applyNumberFormat="1" applyFont="1" applyBorder="1" applyAlignment="1">
      <alignment/>
    </xf>
    <xf numFmtId="181" fontId="6" fillId="0" borderId="40" xfId="0" applyNumberFormat="1" applyFont="1" applyBorder="1" applyAlignment="1">
      <alignment horizontal="right"/>
    </xf>
    <xf numFmtId="2" fontId="6" fillId="0" borderId="4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0" fontId="10" fillId="0" borderId="31" xfId="0" applyFont="1" applyBorder="1" applyAlignment="1">
      <alignment/>
    </xf>
    <xf numFmtId="0" fontId="0" fillId="0" borderId="4" xfId="0" applyBorder="1" applyAlignment="1">
      <alignment/>
    </xf>
    <xf numFmtId="2" fontId="6" fillId="0" borderId="5" xfId="0" applyNumberFormat="1" applyFont="1" applyBorder="1" applyAlignment="1">
      <alignment horizontal="left"/>
    </xf>
    <xf numFmtId="10" fontId="6" fillId="0" borderId="0" xfId="0" applyNumberFormat="1" applyFont="1" applyBorder="1" applyAlignment="1">
      <alignment horizontal="left"/>
    </xf>
    <xf numFmtId="10" fontId="6" fillId="0" borderId="0" xfId="0" applyNumberFormat="1" applyFont="1" applyBorder="1" applyAlignment="1">
      <alignment horizontal="center"/>
    </xf>
    <xf numFmtId="167" fontId="6" fillId="0" borderId="6" xfId="0" applyNumberFormat="1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167" fontId="6" fillId="0" borderId="0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0" fontId="6" fillId="0" borderId="5" xfId="0" applyNumberFormat="1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165" fontId="6" fillId="0" borderId="6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167" fontId="6" fillId="0" borderId="4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/>
    </xf>
    <xf numFmtId="1" fontId="10" fillId="0" borderId="7" xfId="0" applyNumberFormat="1" applyFont="1" applyBorder="1" applyAlignment="1">
      <alignment/>
    </xf>
    <xf numFmtId="0" fontId="10" fillId="0" borderId="7" xfId="0" applyFont="1" applyBorder="1" applyAlignment="1">
      <alignment/>
    </xf>
    <xf numFmtId="165" fontId="10" fillId="0" borderId="7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1" fontId="10" fillId="0" borderId="8" xfId="0" applyNumberFormat="1" applyFont="1" applyBorder="1" applyAlignment="1">
      <alignment/>
    </xf>
    <xf numFmtId="0" fontId="10" fillId="0" borderId="8" xfId="0" applyFont="1" applyBorder="1" applyAlignment="1">
      <alignment/>
    </xf>
    <xf numFmtId="165" fontId="10" fillId="0" borderId="8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/>
    </xf>
    <xf numFmtId="167" fontId="6" fillId="0" borderId="3" xfId="0" applyNumberFormat="1" applyFont="1" applyBorder="1" applyAlignment="1">
      <alignment horizontal="right"/>
    </xf>
    <xf numFmtId="1" fontId="6" fillId="0" borderId="7" xfId="0" applyNumberFormat="1" applyFont="1" applyBorder="1" applyAlignment="1">
      <alignment/>
    </xf>
    <xf numFmtId="0" fontId="6" fillId="0" borderId="7" xfId="0" applyFont="1" applyBorder="1" applyAlignment="1">
      <alignment horizontal="right"/>
    </xf>
    <xf numFmtId="0" fontId="14" fillId="0" borderId="7" xfId="0" applyFont="1" applyBorder="1" applyAlignment="1">
      <alignment/>
    </xf>
    <xf numFmtId="1" fontId="6" fillId="0" borderId="7" xfId="0" applyNumberFormat="1" applyFont="1" applyBorder="1" applyAlignment="1">
      <alignment horizontal="right"/>
    </xf>
    <xf numFmtId="1" fontId="6" fillId="0" borderId="5" xfId="0" applyNumberFormat="1" applyFont="1" applyBorder="1" applyAlignment="1">
      <alignment horizontal="right"/>
    </xf>
    <xf numFmtId="1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2" fontId="6" fillId="0" borderId="13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7" fontId="6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44" xfId="0" applyFont="1" applyBorder="1" applyAlignment="1">
      <alignment horizontal="right"/>
    </xf>
    <xf numFmtId="166" fontId="6" fillId="0" borderId="1" xfId="0" applyNumberFormat="1" applyFont="1" applyBorder="1" applyAlignment="1">
      <alignment/>
    </xf>
    <xf numFmtId="0" fontId="6" fillId="0" borderId="19" xfId="0" applyFont="1" applyBorder="1" applyAlignment="1">
      <alignment horizontal="left"/>
    </xf>
    <xf numFmtId="166" fontId="6" fillId="0" borderId="4" xfId="0" applyNumberFormat="1" applyFont="1" applyBorder="1" applyAlignment="1">
      <alignment horizontal="right"/>
    </xf>
    <xf numFmtId="0" fontId="6" fillId="0" borderId="45" xfId="0" applyFont="1" applyBorder="1" applyAlignment="1">
      <alignment horizontal="right"/>
    </xf>
    <xf numFmtId="2" fontId="6" fillId="0" borderId="36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181" fontId="6" fillId="0" borderId="21" xfId="0" applyNumberFormat="1" applyFont="1" applyBorder="1" applyAlignment="1">
      <alignment horizontal="center"/>
    </xf>
    <xf numFmtId="0" fontId="10" fillId="0" borderId="38" xfId="0" applyFont="1" applyBorder="1" applyAlignment="1">
      <alignment/>
    </xf>
    <xf numFmtId="0" fontId="6" fillId="0" borderId="40" xfId="0" applyFont="1" applyBorder="1" applyAlignment="1">
      <alignment horizontal="right"/>
    </xf>
    <xf numFmtId="2" fontId="6" fillId="0" borderId="41" xfId="0" applyNumberFormat="1" applyFont="1" applyBorder="1" applyAlignment="1">
      <alignment horizontal="center"/>
    </xf>
    <xf numFmtId="181" fontId="6" fillId="0" borderId="46" xfId="0" applyNumberFormat="1" applyFont="1" applyBorder="1" applyAlignment="1">
      <alignment horizontal="right"/>
    </xf>
    <xf numFmtId="181" fontId="6" fillId="0" borderId="47" xfId="0" applyNumberFormat="1" applyFont="1" applyBorder="1" applyAlignment="1">
      <alignment horizontal="right"/>
    </xf>
    <xf numFmtId="181" fontId="6" fillId="0" borderId="48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75" fontId="6" fillId="0" borderId="2" xfId="0" applyNumberFormat="1" applyFont="1" applyBorder="1" applyAlignment="1">
      <alignment/>
    </xf>
    <xf numFmtId="175" fontId="6" fillId="0" borderId="4" xfId="0" applyNumberFormat="1" applyFont="1" applyBorder="1" applyAlignment="1">
      <alignment/>
    </xf>
    <xf numFmtId="175" fontId="6" fillId="0" borderId="36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0" fontId="6" fillId="0" borderId="42" xfId="0" applyFont="1" applyBorder="1" applyAlignment="1">
      <alignment horizontal="right"/>
    </xf>
    <xf numFmtId="181" fontId="6" fillId="0" borderId="41" xfId="0" applyNumberFormat="1" applyFont="1" applyBorder="1" applyAlignment="1">
      <alignment/>
    </xf>
    <xf numFmtId="0" fontId="13" fillId="0" borderId="6" xfId="0" applyFont="1" applyBorder="1" applyAlignment="1">
      <alignment/>
    </xf>
    <xf numFmtId="166" fontId="6" fillId="0" borderId="14" xfId="0" applyNumberFormat="1" applyFont="1" applyBorder="1" applyAlignment="1">
      <alignment/>
    </xf>
    <xf numFmtId="181" fontId="6" fillId="0" borderId="19" xfId="0" applyNumberFormat="1" applyFont="1" applyBorder="1" applyAlignment="1">
      <alignment horizontal="left"/>
    </xf>
    <xf numFmtId="2" fontId="10" fillId="0" borderId="30" xfId="0" applyNumberFormat="1" applyFont="1" applyBorder="1" applyAlignment="1">
      <alignment/>
    </xf>
    <xf numFmtId="2" fontId="10" fillId="0" borderId="49" xfId="0" applyNumberFormat="1" applyFont="1" applyBorder="1" applyAlignment="1">
      <alignment/>
    </xf>
    <xf numFmtId="181" fontId="10" fillId="0" borderId="49" xfId="0" applyNumberFormat="1" applyFont="1" applyBorder="1" applyAlignment="1">
      <alignment/>
    </xf>
    <xf numFmtId="10" fontId="10" fillId="0" borderId="49" xfId="0" applyNumberFormat="1" applyFont="1" applyBorder="1" applyAlignment="1">
      <alignment/>
    </xf>
    <xf numFmtId="181" fontId="10" fillId="0" borderId="49" xfId="0" applyNumberFormat="1" applyFont="1" applyBorder="1" applyAlignment="1">
      <alignment horizontal="center"/>
    </xf>
    <xf numFmtId="181" fontId="10" fillId="0" borderId="50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181" fontId="10" fillId="0" borderId="8" xfId="0" applyNumberFormat="1" applyFont="1" applyBorder="1" applyAlignment="1">
      <alignment/>
    </xf>
    <xf numFmtId="181" fontId="10" fillId="0" borderId="2" xfId="0" applyNumberFormat="1" applyFont="1" applyBorder="1" applyAlignment="1">
      <alignment/>
    </xf>
    <xf numFmtId="10" fontId="10" fillId="0" borderId="8" xfId="0" applyNumberFormat="1" applyFont="1" applyBorder="1" applyAlignment="1">
      <alignment/>
    </xf>
    <xf numFmtId="181" fontId="10" fillId="0" borderId="2" xfId="0" applyNumberFormat="1" applyFont="1" applyBorder="1" applyAlignment="1">
      <alignment horizontal="center"/>
    </xf>
    <xf numFmtId="181" fontId="10" fillId="0" borderId="20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175" fontId="6" fillId="0" borderId="21" xfId="0" applyNumberFormat="1" applyFont="1" applyBorder="1" applyAlignment="1">
      <alignment horizontal="center"/>
    </xf>
    <xf numFmtId="175" fontId="6" fillId="0" borderId="46" xfId="0" applyNumberFormat="1" applyFont="1" applyBorder="1" applyAlignment="1">
      <alignment horizontal="center"/>
    </xf>
    <xf numFmtId="175" fontId="6" fillId="0" borderId="47" xfId="0" applyNumberFormat="1" applyFont="1" applyBorder="1" applyAlignment="1">
      <alignment horizontal="center"/>
    </xf>
    <xf numFmtId="175" fontId="6" fillId="0" borderId="48" xfId="0" applyNumberFormat="1" applyFont="1" applyBorder="1" applyAlignment="1">
      <alignment horizontal="center"/>
    </xf>
    <xf numFmtId="175" fontId="6" fillId="0" borderId="11" xfId="0" applyNumberFormat="1" applyFont="1" applyBorder="1" applyAlignment="1">
      <alignment horizontal="center"/>
    </xf>
    <xf numFmtId="175" fontId="6" fillId="0" borderId="46" xfId="0" applyNumberFormat="1" applyFont="1" applyBorder="1" applyAlignment="1">
      <alignment horizontal="right"/>
    </xf>
    <xf numFmtId="175" fontId="6" fillId="0" borderId="47" xfId="0" applyNumberFormat="1" applyFont="1" applyBorder="1" applyAlignment="1">
      <alignment horizontal="right"/>
    </xf>
    <xf numFmtId="175" fontId="6" fillId="0" borderId="48" xfId="0" applyNumberFormat="1" applyFont="1" applyBorder="1" applyAlignment="1">
      <alignment horizontal="right"/>
    </xf>
    <xf numFmtId="175" fontId="6" fillId="0" borderId="36" xfId="0" applyNumberFormat="1" applyFont="1" applyBorder="1" applyAlignment="1">
      <alignment horizontal="center"/>
    </xf>
    <xf numFmtId="166" fontId="6" fillId="0" borderId="15" xfId="0" applyNumberFormat="1" applyFont="1" applyBorder="1" applyAlignment="1">
      <alignment horizontal="center"/>
    </xf>
    <xf numFmtId="181" fontId="6" fillId="0" borderId="4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175" fontId="6" fillId="0" borderId="0" xfId="0" applyNumberFormat="1" applyFont="1" applyBorder="1" applyAlignment="1">
      <alignment/>
    </xf>
    <xf numFmtId="2" fontId="6" fillId="0" borderId="46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175" fontId="6" fillId="0" borderId="0" xfId="0" applyNumberFormat="1" applyFont="1" applyBorder="1" applyAlignment="1">
      <alignment horizontal="center"/>
    </xf>
    <xf numFmtId="0" fontId="6" fillId="0" borderId="52" xfId="0" applyFont="1" applyBorder="1" applyAlignment="1">
      <alignment horizontal="right"/>
    </xf>
    <xf numFmtId="175" fontId="6" fillId="0" borderId="21" xfId="0" applyNumberFormat="1" applyFont="1" applyBorder="1" applyAlignment="1">
      <alignment horizontal="left"/>
    </xf>
    <xf numFmtId="166" fontId="6" fillId="0" borderId="15" xfId="0" applyNumberFormat="1" applyFont="1" applyBorder="1" applyAlignment="1">
      <alignment horizontal="right"/>
    </xf>
    <xf numFmtId="166" fontId="6" fillId="0" borderId="47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175" fontId="6" fillId="0" borderId="19" xfId="0" applyNumberFormat="1" applyFont="1" applyBorder="1" applyAlignment="1">
      <alignment horizontal="center"/>
    </xf>
    <xf numFmtId="166" fontId="6" fillId="0" borderId="21" xfId="0" applyNumberFormat="1" applyFont="1" applyBorder="1" applyAlignment="1">
      <alignment horizontal="center"/>
    </xf>
    <xf numFmtId="2" fontId="6" fillId="0" borderId="47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75" fontId="6" fillId="0" borderId="4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181" fontId="6" fillId="0" borderId="51" xfId="0" applyNumberFormat="1" applyFont="1" applyBorder="1" applyAlignment="1">
      <alignment horizontal="right"/>
    </xf>
    <xf numFmtId="181" fontId="6" fillId="0" borderId="25" xfId="0" applyNumberFormat="1" applyFont="1" applyBorder="1" applyAlignment="1">
      <alignment horizontal="right"/>
    </xf>
    <xf numFmtId="165" fontId="6" fillId="0" borderId="21" xfId="0" applyNumberFormat="1" applyFont="1" applyBorder="1" applyAlignment="1">
      <alignment horizontal="center"/>
    </xf>
    <xf numFmtId="166" fontId="6" fillId="0" borderId="9" xfId="0" applyNumberFormat="1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/>
    </xf>
    <xf numFmtId="167" fontId="5" fillId="0" borderId="3" xfId="0" applyNumberFormat="1" applyFont="1" applyBorder="1" applyAlignment="1">
      <alignment/>
    </xf>
    <xf numFmtId="167" fontId="5" fillId="0" borderId="4" xfId="0" applyNumberFormat="1" applyFont="1" applyBorder="1" applyAlignment="1">
      <alignment/>
    </xf>
    <xf numFmtId="166" fontId="6" fillId="0" borderId="10" xfId="0" applyNumberFormat="1" applyFont="1" applyBorder="1" applyAlignment="1">
      <alignment horizontal="left"/>
    </xf>
    <xf numFmtId="181" fontId="6" fillId="0" borderId="9" xfId="0" applyNumberFormat="1" applyFont="1" applyBorder="1" applyAlignment="1">
      <alignment horizontal="center"/>
    </xf>
    <xf numFmtId="181" fontId="6" fillId="0" borderId="5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/>
    </xf>
    <xf numFmtId="167" fontId="6" fillId="0" borderId="3" xfId="0" applyNumberFormat="1" applyFont="1" applyBorder="1" applyAlignment="1">
      <alignment/>
    </xf>
    <xf numFmtId="167" fontId="6" fillId="0" borderId="4" xfId="0" applyNumberFormat="1" applyFont="1" applyBorder="1" applyAlignment="1">
      <alignment/>
    </xf>
    <xf numFmtId="181" fontId="6" fillId="0" borderId="51" xfId="0" applyNumberFormat="1" applyFont="1" applyBorder="1" applyAlignment="1">
      <alignment/>
    </xf>
    <xf numFmtId="166" fontId="6" fillId="0" borderId="51" xfId="0" applyNumberFormat="1" applyFont="1" applyBorder="1" applyAlignment="1">
      <alignment/>
    </xf>
    <xf numFmtId="181" fontId="6" fillId="0" borderId="25" xfId="0" applyNumberFormat="1" applyFont="1" applyBorder="1" applyAlignment="1">
      <alignment/>
    </xf>
    <xf numFmtId="0" fontId="6" fillId="0" borderId="53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2" fontId="6" fillId="0" borderId="54" xfId="0" applyNumberFormat="1" applyFont="1" applyBorder="1" applyAlignment="1">
      <alignment/>
    </xf>
    <xf numFmtId="0" fontId="10" fillId="0" borderId="33" xfId="0" applyFont="1" applyBorder="1" applyAlignment="1">
      <alignment/>
    </xf>
    <xf numFmtId="0" fontId="6" fillId="0" borderId="33" xfId="0" applyFont="1" applyBorder="1" applyAlignment="1">
      <alignment horizontal="right"/>
    </xf>
    <xf numFmtId="0" fontId="10" fillId="0" borderId="1" xfId="0" applyFont="1" applyBorder="1" applyAlignment="1">
      <alignment/>
    </xf>
    <xf numFmtId="2" fontId="6" fillId="0" borderId="19" xfId="0" applyNumberFormat="1" applyFont="1" applyBorder="1" applyAlignment="1">
      <alignment/>
    </xf>
    <xf numFmtId="166" fontId="6" fillId="0" borderId="54" xfId="0" applyNumberFormat="1" applyFont="1" applyBorder="1" applyAlignment="1">
      <alignment/>
    </xf>
    <xf numFmtId="166" fontId="6" fillId="0" borderId="15" xfId="0" applyNumberFormat="1" applyFont="1" applyBorder="1" applyAlignment="1">
      <alignment/>
    </xf>
    <xf numFmtId="181" fontId="6" fillId="0" borderId="19" xfId="0" applyNumberFormat="1" applyFont="1" applyBorder="1" applyAlignment="1">
      <alignment/>
    </xf>
    <xf numFmtId="0" fontId="10" fillId="0" borderId="19" xfId="0" applyFont="1" applyBorder="1" applyAlignment="1">
      <alignment/>
    </xf>
    <xf numFmtId="10" fontId="6" fillId="0" borderId="12" xfId="0" applyNumberFormat="1" applyFont="1" applyBorder="1" applyAlignment="1">
      <alignment/>
    </xf>
    <xf numFmtId="166" fontId="6" fillId="0" borderId="12" xfId="0" applyNumberFormat="1" applyFont="1" applyBorder="1" applyAlignment="1">
      <alignment/>
    </xf>
    <xf numFmtId="166" fontId="6" fillId="0" borderId="12" xfId="0" applyNumberFormat="1" applyFont="1" applyBorder="1" applyAlignment="1">
      <alignment horizontal="right"/>
    </xf>
    <xf numFmtId="164" fontId="6" fillId="0" borderId="43" xfId="0" applyNumberFormat="1" applyFont="1" applyBorder="1" applyAlignment="1">
      <alignment/>
    </xf>
    <xf numFmtId="164" fontId="6" fillId="0" borderId="55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0" fontId="13" fillId="0" borderId="0" xfId="0" applyFont="1" applyBorder="1" applyAlignment="1">
      <alignment/>
    </xf>
    <xf numFmtId="175" fontId="6" fillId="0" borderId="43" xfId="0" applyNumberFormat="1" applyFont="1" applyBorder="1" applyAlignment="1">
      <alignment/>
    </xf>
    <xf numFmtId="175" fontId="6" fillId="0" borderId="55" xfId="0" applyNumberFormat="1" applyFont="1" applyBorder="1" applyAlignment="1">
      <alignment/>
    </xf>
    <xf numFmtId="164" fontId="6" fillId="0" borderId="40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2" fontId="6" fillId="0" borderId="56" xfId="0" applyNumberFormat="1" applyFont="1" applyBorder="1" applyAlignment="1">
      <alignment/>
    </xf>
    <xf numFmtId="2" fontId="6" fillId="0" borderId="55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175" fontId="6" fillId="0" borderId="40" xfId="0" applyNumberFormat="1" applyFont="1" applyBorder="1" applyAlignment="1">
      <alignment/>
    </xf>
    <xf numFmtId="175" fontId="6" fillId="0" borderId="41" xfId="0" applyNumberFormat="1" applyFont="1" applyBorder="1" applyAlignment="1">
      <alignment/>
    </xf>
    <xf numFmtId="181" fontId="6" fillId="0" borderId="57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67" fontId="18" fillId="0" borderId="58" xfId="0" applyNumberFormat="1" applyFont="1" applyBorder="1" applyAlignment="1">
      <alignment/>
    </xf>
    <xf numFmtId="0" fontId="18" fillId="0" borderId="59" xfId="0" applyFont="1" applyBorder="1" applyAlignment="1">
      <alignment/>
    </xf>
    <xf numFmtId="0" fontId="19" fillId="0" borderId="59" xfId="0" applyFont="1" applyBorder="1" applyAlignment="1">
      <alignment horizontal="center"/>
    </xf>
    <xf numFmtId="0" fontId="20" fillId="0" borderId="59" xfId="0" applyFont="1" applyBorder="1" applyAlignment="1">
      <alignment/>
    </xf>
    <xf numFmtId="0" fontId="18" fillId="0" borderId="6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6
Deterministic and Random Demand</a:t>
            </a:r>
          </a:p>
        </c:rich>
      </c:tx>
      <c:layout>
        <c:manualLayout>
          <c:xMode val="factor"/>
          <c:yMode val="factor"/>
          <c:x val="-0.001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365"/>
          <c:w val="0.9665"/>
          <c:h val="0.7615"/>
        </c:manualLayout>
      </c:layout>
      <c:lineChart>
        <c:grouping val="standard"/>
        <c:varyColors val="0"/>
        <c:ser>
          <c:idx val="0"/>
          <c:order val="0"/>
          <c:tx>
            <c:strRef>
              <c:f>Sheet1!$G$633</c:f>
              <c:strCache>
                <c:ptCount val="1"/>
                <c:pt idx="0">
                  <c:v>Deterministic Demand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Sheet1!$F$634:$F$647</c:f>
              <c:numCache>
                <c:ptCount val="14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</c:numCache>
            </c:numRef>
          </c:cat>
          <c:val>
            <c:numRef>
              <c:f>Sheet1!$G$634:$G$647</c:f>
              <c:numCache>
                <c:ptCount val="14"/>
                <c:pt idx="0">
                  <c:v>1230</c:v>
                </c:pt>
                <c:pt idx="1">
                  <c:v>1170</c:v>
                </c:pt>
                <c:pt idx="2">
                  <c:v>1110</c:v>
                </c:pt>
                <c:pt idx="3">
                  <c:v>1050</c:v>
                </c:pt>
                <c:pt idx="4">
                  <c:v>990</c:v>
                </c:pt>
                <c:pt idx="5">
                  <c:v>930</c:v>
                </c:pt>
                <c:pt idx="6">
                  <c:v>870</c:v>
                </c:pt>
                <c:pt idx="7">
                  <c:v>810</c:v>
                </c:pt>
                <c:pt idx="8">
                  <c:v>750</c:v>
                </c:pt>
                <c:pt idx="9">
                  <c:v>690</c:v>
                </c:pt>
                <c:pt idx="10">
                  <c:v>630</c:v>
                </c:pt>
                <c:pt idx="11">
                  <c:v>570</c:v>
                </c:pt>
                <c:pt idx="12">
                  <c:v>510</c:v>
                </c:pt>
                <c:pt idx="13">
                  <c:v>450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Sheet1!$H$633</c:f>
              <c:strCache>
                <c:ptCount val="1"/>
                <c:pt idx="0">
                  <c:v>Random Demand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Sheet1!$F$634:$F$647</c:f>
              <c:numCache>
                <c:ptCount val="14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</c:numCache>
            </c:numRef>
          </c:cat>
          <c:val>
            <c:numRef>
              <c:f>Sheet1!$H$634:$H$647</c:f>
              <c:numCache>
                <c:ptCount val="14"/>
                <c:pt idx="0">
                  <c:v>1203.7468250748452</c:v>
                </c:pt>
                <c:pt idx="1">
                  <c:v>1143.7468250748452</c:v>
                </c:pt>
                <c:pt idx="2">
                  <c:v>1083.7468250748452</c:v>
                </c:pt>
                <c:pt idx="3">
                  <c:v>1023.7468250748452</c:v>
                </c:pt>
                <c:pt idx="4">
                  <c:v>963.7468250748452</c:v>
                </c:pt>
                <c:pt idx="5">
                  <c:v>903.7468250748452</c:v>
                </c:pt>
                <c:pt idx="6">
                  <c:v>843.7468250748452</c:v>
                </c:pt>
                <c:pt idx="7">
                  <c:v>783.7468250748452</c:v>
                </c:pt>
                <c:pt idx="8">
                  <c:v>723.7468250748452</c:v>
                </c:pt>
                <c:pt idx="9">
                  <c:v>663.7468250748452</c:v>
                </c:pt>
                <c:pt idx="10">
                  <c:v>603.7468250748452</c:v>
                </c:pt>
                <c:pt idx="11">
                  <c:v>543.7468250748452</c:v>
                </c:pt>
                <c:pt idx="12">
                  <c:v>483.7468250748452</c:v>
                </c:pt>
                <c:pt idx="13">
                  <c:v>423.7468250748452</c:v>
                </c:pt>
              </c:numCache>
            </c:numRef>
          </c:val>
          <c:smooth val="0"/>
        </c:ser>
        <c:marker val="1"/>
        <c:axId val="25407676"/>
        <c:axId val="27342493"/>
      </c:lineChart>
      <c:catAx>
        <c:axId val="254076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7342493"/>
        <c:crosses val="autoZero"/>
        <c:auto val="0"/>
        <c:lblOffset val="100"/>
        <c:noMultiLvlLbl val="0"/>
      </c:catAx>
      <c:valAx>
        <c:axId val="27342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#;[Red]\(&quot;$&quot;#,##0.0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25407676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175"/>
          <c:y val="0.91325"/>
          <c:w val="0.44575"/>
          <c:h val="0.07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11525"/>
          <c:w val="0.88925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Sheet1!$E$878</c:f>
              <c:strCache>
                <c:ptCount val="1"/>
                <c:pt idx="0">
                  <c:v>Base Total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Sheet1!$D$879:$D$894</c:f>
              <c:numCach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cat>
          <c:val>
            <c:numRef>
              <c:f>Sheet1!$E$879:$E$894</c:f>
              <c:numCache>
                <c:ptCount val="16"/>
                <c:pt idx="0">
                  <c:v>0</c:v>
                </c:pt>
                <c:pt idx="1">
                  <c:v>23000</c:v>
                </c:pt>
                <c:pt idx="2">
                  <c:v>42800</c:v>
                </c:pt>
                <c:pt idx="3">
                  <c:v>59400</c:v>
                </c:pt>
                <c:pt idx="4">
                  <c:v>72800</c:v>
                </c:pt>
                <c:pt idx="5">
                  <c:v>83000</c:v>
                </c:pt>
                <c:pt idx="6">
                  <c:v>90000</c:v>
                </c:pt>
                <c:pt idx="7">
                  <c:v>93800</c:v>
                </c:pt>
                <c:pt idx="8">
                  <c:v>94400</c:v>
                </c:pt>
                <c:pt idx="9">
                  <c:v>91800</c:v>
                </c:pt>
                <c:pt idx="10">
                  <c:v>86000</c:v>
                </c:pt>
                <c:pt idx="11">
                  <c:v>77000</c:v>
                </c:pt>
                <c:pt idx="12">
                  <c:v>64800</c:v>
                </c:pt>
                <c:pt idx="13">
                  <c:v>49400</c:v>
                </c:pt>
                <c:pt idx="14">
                  <c:v>30800</c:v>
                </c:pt>
                <c:pt idx="15">
                  <c:v>9000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Sheet1!$F$878</c:f>
              <c:strCache>
                <c:ptCount val="1"/>
                <c:pt idx="0">
                  <c:v>Random Total Revenue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Sheet1!$D$879:$D$894</c:f>
              <c:numCach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cat>
          <c:val>
            <c:numRef>
              <c:f>Sheet1!$F$879:$F$894</c:f>
              <c:numCache>
                <c:ptCount val="16"/>
                <c:pt idx="0">
                  <c:v>0</c:v>
                </c:pt>
                <c:pt idx="1">
                  <c:v>22474.936501496904</c:v>
                </c:pt>
                <c:pt idx="2">
                  <c:v>41749.87300299381</c:v>
                </c:pt>
                <c:pt idx="3">
                  <c:v>57824.80950449071</c:v>
                </c:pt>
                <c:pt idx="4">
                  <c:v>70699.74600598762</c:v>
                </c:pt>
                <c:pt idx="5">
                  <c:v>80374.68250748453</c:v>
                </c:pt>
                <c:pt idx="6">
                  <c:v>86849.61900898142</c:v>
                </c:pt>
                <c:pt idx="7">
                  <c:v>90124.55551047833</c:v>
                </c:pt>
                <c:pt idx="8">
                  <c:v>90199.49201197524</c:v>
                </c:pt>
                <c:pt idx="9">
                  <c:v>87074.42851347214</c:v>
                </c:pt>
                <c:pt idx="10">
                  <c:v>80749.36501496905</c:v>
                </c:pt>
                <c:pt idx="11">
                  <c:v>71224.30151646596</c:v>
                </c:pt>
                <c:pt idx="12">
                  <c:v>58499.23801796284</c:v>
                </c:pt>
                <c:pt idx="13">
                  <c:v>42574.174519459775</c:v>
                </c:pt>
                <c:pt idx="14">
                  <c:v>23449.111020956654</c:v>
                </c:pt>
                <c:pt idx="15">
                  <c:v>1124.0475224535912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Sheet1!$G$878</c:f>
              <c:strCache>
                <c:ptCount val="1"/>
                <c:pt idx="0">
                  <c:v>Base Total Cost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FF00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Sheet1!$D$879:$D$894</c:f>
              <c:numCach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cat>
          <c:val>
            <c:numRef>
              <c:f>Sheet1!$G$879:$G$894</c:f>
              <c:numCache>
                <c:ptCount val="16"/>
                <c:pt idx="0">
                  <c:v>439.4125661827812</c:v>
                </c:pt>
                <c:pt idx="1">
                  <c:v>4070.472566182781</c:v>
                </c:pt>
                <c:pt idx="2">
                  <c:v>14101.532566182781</c:v>
                </c:pt>
                <c:pt idx="3">
                  <c:v>30532.592566182782</c:v>
                </c:pt>
                <c:pt idx="4">
                  <c:v>53363.65256618278</c:v>
                </c:pt>
                <c:pt idx="5">
                  <c:v>82594.71256618277</c:v>
                </c:pt>
                <c:pt idx="6">
                  <c:v>118225.77256618279</c:v>
                </c:pt>
                <c:pt idx="7">
                  <c:v>160256.83256618277</c:v>
                </c:pt>
                <c:pt idx="8">
                  <c:v>208687.89256618277</c:v>
                </c:pt>
                <c:pt idx="9">
                  <c:v>263518.95256618276</c:v>
                </c:pt>
                <c:pt idx="10">
                  <c:v>324750.01256618276</c:v>
                </c:pt>
                <c:pt idx="11">
                  <c:v>392381.07256618276</c:v>
                </c:pt>
                <c:pt idx="12">
                  <c:v>466412.13256618276</c:v>
                </c:pt>
                <c:pt idx="13">
                  <c:v>546843.1925661828</c:v>
                </c:pt>
                <c:pt idx="14">
                  <c:v>633674.2525661828</c:v>
                </c:pt>
                <c:pt idx="15">
                  <c:v>726905.3125661828</c:v>
                </c:pt>
              </c:numCache>
            </c:numRef>
          </c:val>
          <c:smooth val="0"/>
        </c:ser>
        <c:marker val="1"/>
        <c:axId val="44755846"/>
        <c:axId val="149431"/>
      </c:lineChart>
      <c:catAx>
        <c:axId val="4475584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9431"/>
        <c:crosses val="autoZero"/>
        <c:auto val="0"/>
        <c:lblOffset val="100"/>
        <c:noMultiLvlLbl val="0"/>
      </c:catAx>
      <c:valAx>
        <c:axId val="149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#;[Red]\(&quot;$&quot;#,##0.0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44755846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85"/>
          <c:y val="0.94975"/>
          <c:w val="0.877"/>
          <c:h val="0.0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2
Competitive Equilibrium of a Firm with Production Function Variations</a:t>
            </a:r>
          </a:p>
        </c:rich>
      </c:tx>
      <c:layout>
        <c:manualLayout>
          <c:xMode val="factor"/>
          <c:yMode val="factor"/>
          <c:x val="-0.00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355"/>
          <c:w val="0.998"/>
          <c:h val="0.8085"/>
        </c:manualLayout>
      </c:layout>
      <c:lineChart>
        <c:grouping val="standard"/>
        <c:varyColors val="0"/>
        <c:ser>
          <c:idx val="0"/>
          <c:order val="0"/>
          <c:tx>
            <c:strRef>
              <c:f>Sheet1!$V$11</c:f>
              <c:strCache>
                <c:ptCount val="1"/>
                <c:pt idx="0">
                  <c:v>Average Cost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Sheet1!$U$12:$U$28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Sheet1!$V$12:$V$28</c:f>
              <c:numCache>
                <c:ptCount val="17"/>
                <c:pt idx="1">
                  <c:v>468.9655661827812</c:v>
                </c:pt>
                <c:pt idx="2">
                  <c:v>257.25928309139056</c:v>
                </c:pt>
                <c:pt idx="3">
                  <c:v>192.0238553942604</c:v>
                </c:pt>
                <c:pt idx="4">
                  <c:v>163.4061415456953</c:v>
                </c:pt>
                <c:pt idx="5">
                  <c:v>149.43551323655623</c:v>
                </c:pt>
                <c:pt idx="6">
                  <c:v>142.7884276971302</c:v>
                </c:pt>
                <c:pt idx="7">
                  <c:v>140.32622374039732</c:v>
                </c:pt>
                <c:pt idx="8">
                  <c:v>140.47957077284764</c:v>
                </c:pt>
                <c:pt idx="9">
                  <c:v>142.37661846475348</c:v>
                </c:pt>
                <c:pt idx="10">
                  <c:v>145.49425661827814</c:v>
                </c:pt>
                <c:pt idx="11">
                  <c:v>149.49959692570738</c:v>
                </c:pt>
                <c:pt idx="12">
                  <c:v>154.1707138485651</c:v>
                </c:pt>
                <c:pt idx="13">
                  <c:v>159.35396662944473</c:v>
                </c:pt>
                <c:pt idx="14">
                  <c:v>164.93961187019866</c:v>
                </c:pt>
                <c:pt idx="15">
                  <c:v>170.84717107885209</c:v>
                </c:pt>
                <c:pt idx="16">
                  <c:v>177.01628538642382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Sheet1!$W$11</c:f>
              <c:strCache>
                <c:ptCount val="1"/>
                <c:pt idx="0">
                  <c:v>Marginal Cost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Sheet1!$U$12:$U$28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Sheet1!$W$12:$W$28</c:f>
              <c:numCache>
                <c:ptCount val="17"/>
                <c:pt idx="1">
                  <c:v>37.553</c:v>
                </c:pt>
                <c:pt idx="2">
                  <c:v>53.553</c:v>
                </c:pt>
                <c:pt idx="3">
                  <c:v>69.553</c:v>
                </c:pt>
                <c:pt idx="4">
                  <c:v>85.553</c:v>
                </c:pt>
                <c:pt idx="5">
                  <c:v>101.553</c:v>
                </c:pt>
                <c:pt idx="6">
                  <c:v>117.553</c:v>
                </c:pt>
                <c:pt idx="7">
                  <c:v>133.553</c:v>
                </c:pt>
                <c:pt idx="8">
                  <c:v>149.553</c:v>
                </c:pt>
                <c:pt idx="9">
                  <c:v>165.553</c:v>
                </c:pt>
                <c:pt idx="10">
                  <c:v>181.553</c:v>
                </c:pt>
                <c:pt idx="11">
                  <c:v>197.553</c:v>
                </c:pt>
                <c:pt idx="12">
                  <c:v>213.553</c:v>
                </c:pt>
                <c:pt idx="13">
                  <c:v>229.553</c:v>
                </c:pt>
                <c:pt idx="14">
                  <c:v>245.553</c:v>
                </c:pt>
                <c:pt idx="15">
                  <c:v>261.553</c:v>
                </c:pt>
                <c:pt idx="16">
                  <c:v>277.553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Sheet1!$X$11</c:f>
              <c:strCache>
                <c:ptCount val="1"/>
                <c:pt idx="0">
                  <c:v>Competitive Price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FCF305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Sheet1!$U$12:$U$28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Sheet1!$X$12:$X$28</c:f>
              <c:numCache>
                <c:ptCount val="17"/>
                <c:pt idx="0">
                  <c:v>140.13333333333333</c:v>
                </c:pt>
                <c:pt idx="1">
                  <c:v>140.13333333333333</c:v>
                </c:pt>
                <c:pt idx="2">
                  <c:v>140.13333333333333</c:v>
                </c:pt>
                <c:pt idx="3">
                  <c:v>140.13333333333333</c:v>
                </c:pt>
                <c:pt idx="4">
                  <c:v>140.13333333333333</c:v>
                </c:pt>
                <c:pt idx="5">
                  <c:v>140.13333333333333</c:v>
                </c:pt>
                <c:pt idx="6">
                  <c:v>140.13333333333333</c:v>
                </c:pt>
                <c:pt idx="7">
                  <c:v>140.13333333333333</c:v>
                </c:pt>
                <c:pt idx="8">
                  <c:v>140.13333333333333</c:v>
                </c:pt>
                <c:pt idx="9">
                  <c:v>140.13333333333333</c:v>
                </c:pt>
                <c:pt idx="10">
                  <c:v>140.13333333333333</c:v>
                </c:pt>
                <c:pt idx="11">
                  <c:v>140.13333333333333</c:v>
                </c:pt>
                <c:pt idx="12">
                  <c:v>140.13333333333333</c:v>
                </c:pt>
                <c:pt idx="13">
                  <c:v>140.13333333333333</c:v>
                </c:pt>
                <c:pt idx="14">
                  <c:v>140.13333333333333</c:v>
                </c:pt>
                <c:pt idx="15">
                  <c:v>140.13333333333333</c:v>
                </c:pt>
                <c:pt idx="16">
                  <c:v>140.13333333333333</c:v>
                </c:pt>
              </c:numCache>
            </c:numRef>
          </c:val>
          <c:smooth val="0"/>
        </c:ser>
        <c:marker val="1"/>
        <c:axId val="1344880"/>
        <c:axId val="12103921"/>
      </c:lineChart>
      <c:catAx>
        <c:axId val="13448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2103921"/>
        <c:crosses val="autoZero"/>
        <c:auto val="0"/>
        <c:lblOffset val="100"/>
        <c:noMultiLvlLbl val="0"/>
      </c:catAx>
      <c:valAx>
        <c:axId val="12103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#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1344880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2"/>
          <c:y val="0.94475"/>
          <c:w val="0.4975"/>
          <c:h val="0.04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4
Inventory Inclusive Equilibrium of the Firm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3225"/>
          <c:w val="0.9622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Sheet1!$Q$303</c:f>
              <c:strCache>
                <c:ptCount val="1"/>
                <c:pt idx="0">
                  <c:v>Average Cost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Sheet1!$P$304:$P$320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Sheet1!$Q$304:$Q$320</c:f>
              <c:numCache>
                <c:ptCount val="17"/>
                <c:pt idx="1">
                  <c:v>500.91259023694784</c:v>
                </c:pt>
                <c:pt idx="2">
                  <c:v>273.2327951184739</c:v>
                </c:pt>
                <c:pt idx="3">
                  <c:v>202.67286341231593</c:v>
                </c:pt>
                <c:pt idx="4">
                  <c:v>171.39289755923696</c:v>
                </c:pt>
                <c:pt idx="5">
                  <c:v>155.82491804738956</c:v>
                </c:pt>
                <c:pt idx="6">
                  <c:v>148.11293170615798</c:v>
                </c:pt>
                <c:pt idx="7">
                  <c:v>144.89008431956398</c:v>
                </c:pt>
                <c:pt idx="8">
                  <c:v>144.4729487796185</c:v>
                </c:pt>
                <c:pt idx="9">
                  <c:v>145.9262878041053</c:v>
                </c:pt>
                <c:pt idx="10">
                  <c:v>148.68895902369476</c:v>
                </c:pt>
                <c:pt idx="11">
                  <c:v>152.40387183972254</c:v>
                </c:pt>
                <c:pt idx="12">
                  <c:v>156.832965853079</c:v>
                </c:pt>
                <c:pt idx="13">
                  <c:v>161.81143001822676</c:v>
                </c:pt>
                <c:pt idx="14">
                  <c:v>167.22154215978202</c:v>
                </c:pt>
                <c:pt idx="15">
                  <c:v>172.9769726824632</c:v>
                </c:pt>
                <c:pt idx="16">
                  <c:v>179.01297438980924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Sheet1!$R$303</c:f>
              <c:strCache>
                <c:ptCount val="1"/>
                <c:pt idx="0">
                  <c:v>Marginal Cost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6411"/>
                </a:solidFill>
              </a:ln>
            </c:spPr>
          </c:marker>
          <c:cat>
            <c:numRef>
              <c:f>Sheet1!$P$304:$P$320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Sheet1!$R$304:$R$320</c:f>
              <c:numCache>
                <c:ptCount val="17"/>
                <c:pt idx="1">
                  <c:v>37.553</c:v>
                </c:pt>
                <c:pt idx="2">
                  <c:v>53.553</c:v>
                </c:pt>
                <c:pt idx="3">
                  <c:v>69.553</c:v>
                </c:pt>
                <c:pt idx="4">
                  <c:v>85.553</c:v>
                </c:pt>
                <c:pt idx="5">
                  <c:v>101.553</c:v>
                </c:pt>
                <c:pt idx="6">
                  <c:v>117.553</c:v>
                </c:pt>
                <c:pt idx="7">
                  <c:v>133.553</c:v>
                </c:pt>
                <c:pt idx="8">
                  <c:v>149.553</c:v>
                </c:pt>
                <c:pt idx="9">
                  <c:v>165.553</c:v>
                </c:pt>
                <c:pt idx="10">
                  <c:v>181.553</c:v>
                </c:pt>
                <c:pt idx="11">
                  <c:v>197.553</c:v>
                </c:pt>
                <c:pt idx="12">
                  <c:v>213.553</c:v>
                </c:pt>
                <c:pt idx="13">
                  <c:v>229.553</c:v>
                </c:pt>
                <c:pt idx="14">
                  <c:v>245.553</c:v>
                </c:pt>
                <c:pt idx="15">
                  <c:v>261.553</c:v>
                </c:pt>
                <c:pt idx="16">
                  <c:v>277.553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Sheet1!$S$303</c:f>
              <c:strCache>
                <c:ptCount val="1"/>
                <c:pt idx="0">
                  <c:v>Competitive Price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Sheet1!$P$304:$P$320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Sheet1!$S$304:$S$320</c:f>
              <c:numCache>
                <c:ptCount val="17"/>
                <c:pt idx="0">
                  <c:v>140.13333333333333</c:v>
                </c:pt>
                <c:pt idx="1">
                  <c:v>140.13333333333333</c:v>
                </c:pt>
                <c:pt idx="2">
                  <c:v>140.13333333333333</c:v>
                </c:pt>
                <c:pt idx="3">
                  <c:v>140.13333333333333</c:v>
                </c:pt>
                <c:pt idx="4">
                  <c:v>140.13333333333333</c:v>
                </c:pt>
                <c:pt idx="5">
                  <c:v>140.13333333333333</c:v>
                </c:pt>
                <c:pt idx="6">
                  <c:v>140.13333333333333</c:v>
                </c:pt>
                <c:pt idx="7">
                  <c:v>140.13333333333333</c:v>
                </c:pt>
                <c:pt idx="8">
                  <c:v>140.13333333333333</c:v>
                </c:pt>
                <c:pt idx="9">
                  <c:v>140.13333333333333</c:v>
                </c:pt>
                <c:pt idx="10">
                  <c:v>140.13333333333333</c:v>
                </c:pt>
                <c:pt idx="11">
                  <c:v>140.13333333333333</c:v>
                </c:pt>
                <c:pt idx="12">
                  <c:v>140.13333333333333</c:v>
                </c:pt>
                <c:pt idx="13">
                  <c:v>140.13333333333333</c:v>
                </c:pt>
                <c:pt idx="14">
                  <c:v>140.13333333333333</c:v>
                </c:pt>
                <c:pt idx="15">
                  <c:v>140.13333333333333</c:v>
                </c:pt>
                <c:pt idx="16">
                  <c:v>140.13333333333333</c:v>
                </c:pt>
              </c:numCache>
            </c:numRef>
          </c:val>
          <c:smooth val="0"/>
        </c:ser>
        <c:marker val="1"/>
        <c:axId val="41826426"/>
        <c:axId val="40893515"/>
      </c:lineChart>
      <c:catAx>
        <c:axId val="4182642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893515"/>
        <c:crosses val="autoZero"/>
        <c:auto val="0"/>
        <c:lblOffset val="100"/>
        <c:noMultiLvlLbl val="0"/>
      </c:catAx>
      <c:valAx>
        <c:axId val="40893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#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41826426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75"/>
          <c:y val="0.93"/>
          <c:w val="0.543"/>
          <c:h val="0.04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5
Optimal Inventory Firm Equilibrium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405"/>
          <c:w val="0.930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Sheet1!$Q$476</c:f>
              <c:strCache>
                <c:ptCount val="1"/>
                <c:pt idx="0">
                  <c:v>Average Cost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Sheet1!$P$477:$P$493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Sheet1!$Q$477:$Q$493</c:f>
              <c:numCache>
                <c:ptCount val="17"/>
                <c:pt idx="1">
                  <c:v>492.08833296424</c:v>
                </c:pt>
                <c:pt idx="2">
                  <c:v>268.82066648212003</c:v>
                </c:pt>
                <c:pt idx="3">
                  <c:v>199.73144432141336</c:v>
                </c:pt>
                <c:pt idx="4">
                  <c:v>169.18683324106001</c:v>
                </c:pt>
                <c:pt idx="5">
                  <c:v>154.06006659284802</c:v>
                </c:pt>
                <c:pt idx="6">
                  <c:v>146.64222216070667</c:v>
                </c:pt>
                <c:pt idx="7">
                  <c:v>143.62947613774858</c:v>
                </c:pt>
                <c:pt idx="8">
                  <c:v>143.36991662053</c:v>
                </c:pt>
                <c:pt idx="9">
                  <c:v>144.94581477380447</c:v>
                </c:pt>
                <c:pt idx="10">
                  <c:v>147.806533296424</c:v>
                </c:pt>
                <c:pt idx="11">
                  <c:v>151.60166663311273</c:v>
                </c:pt>
                <c:pt idx="12">
                  <c:v>156.09761108035335</c:v>
                </c:pt>
                <c:pt idx="13">
                  <c:v>161.13264099724924</c:v>
                </c:pt>
                <c:pt idx="14">
                  <c:v>166.59123806887428</c:v>
                </c:pt>
                <c:pt idx="15">
                  <c:v>172.38868886428267</c:v>
                </c:pt>
                <c:pt idx="16">
                  <c:v>178.46145831026502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Sheet1!$R$476</c:f>
              <c:strCache>
                <c:ptCount val="1"/>
                <c:pt idx="0">
                  <c:v>Marginal Cost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Sheet1!$P$477:$P$493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Sheet1!$R$477:$R$493</c:f>
              <c:numCache>
                <c:ptCount val="17"/>
                <c:pt idx="1">
                  <c:v>37.553</c:v>
                </c:pt>
                <c:pt idx="2">
                  <c:v>53.553</c:v>
                </c:pt>
                <c:pt idx="3">
                  <c:v>69.553</c:v>
                </c:pt>
                <c:pt idx="4">
                  <c:v>85.553</c:v>
                </c:pt>
                <c:pt idx="5">
                  <c:v>101.553</c:v>
                </c:pt>
                <c:pt idx="6">
                  <c:v>117.553</c:v>
                </c:pt>
                <c:pt idx="7">
                  <c:v>133.553</c:v>
                </c:pt>
                <c:pt idx="8">
                  <c:v>149.553</c:v>
                </c:pt>
                <c:pt idx="9">
                  <c:v>165.553</c:v>
                </c:pt>
                <c:pt idx="10">
                  <c:v>181.553</c:v>
                </c:pt>
                <c:pt idx="11">
                  <c:v>197.553</c:v>
                </c:pt>
                <c:pt idx="12">
                  <c:v>213.553</c:v>
                </c:pt>
                <c:pt idx="13">
                  <c:v>229.553</c:v>
                </c:pt>
                <c:pt idx="14">
                  <c:v>245.553</c:v>
                </c:pt>
                <c:pt idx="15">
                  <c:v>261.553</c:v>
                </c:pt>
                <c:pt idx="16">
                  <c:v>277.553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Sheet1!$S$476</c:f>
              <c:strCache>
                <c:ptCount val="1"/>
                <c:pt idx="0">
                  <c:v>Competitive Price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Sheet1!$P$477:$P$493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Sheet1!$S$477:$S$493</c:f>
              <c:numCache>
                <c:ptCount val="17"/>
                <c:pt idx="0">
                  <c:v>140.13333333333333</c:v>
                </c:pt>
                <c:pt idx="1">
                  <c:v>140.13333333333333</c:v>
                </c:pt>
                <c:pt idx="2">
                  <c:v>140.13333333333333</c:v>
                </c:pt>
                <c:pt idx="3">
                  <c:v>140.13333333333333</c:v>
                </c:pt>
                <c:pt idx="4">
                  <c:v>140.13333333333333</c:v>
                </c:pt>
                <c:pt idx="5">
                  <c:v>140.13333333333333</c:v>
                </c:pt>
                <c:pt idx="6">
                  <c:v>140.13333333333333</c:v>
                </c:pt>
                <c:pt idx="7">
                  <c:v>140.13333333333333</c:v>
                </c:pt>
                <c:pt idx="8">
                  <c:v>140.13333333333333</c:v>
                </c:pt>
                <c:pt idx="9">
                  <c:v>140.13333333333333</c:v>
                </c:pt>
                <c:pt idx="10">
                  <c:v>140.13333333333333</c:v>
                </c:pt>
                <c:pt idx="11">
                  <c:v>140.13333333333333</c:v>
                </c:pt>
                <c:pt idx="12">
                  <c:v>140.13333333333333</c:v>
                </c:pt>
                <c:pt idx="13">
                  <c:v>140.13333333333333</c:v>
                </c:pt>
                <c:pt idx="14">
                  <c:v>140.13333333333333</c:v>
                </c:pt>
                <c:pt idx="15">
                  <c:v>140.13333333333333</c:v>
                </c:pt>
                <c:pt idx="16">
                  <c:v>140.13333333333333</c:v>
                </c:pt>
              </c:numCache>
            </c:numRef>
          </c:val>
          <c:smooth val="0"/>
        </c:ser>
        <c:marker val="1"/>
        <c:axId val="32497316"/>
        <c:axId val="24040389"/>
      </c:lineChart>
      <c:catAx>
        <c:axId val="324973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040389"/>
        <c:crosses val="autoZero"/>
        <c:auto val="0"/>
        <c:lblOffset val="100"/>
        <c:noMultiLvlLbl val="0"/>
      </c:catAx>
      <c:valAx>
        <c:axId val="24040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32497316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55"/>
          <c:y val="0.924"/>
          <c:w val="0.79575"/>
          <c:h val="0.0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1
Competitive Equilibrium of the Firm</a:t>
            </a:r>
          </a:p>
        </c:rich>
      </c:tx>
      <c:layout>
        <c:manualLayout>
          <c:xMode val="factor"/>
          <c:yMode val="factor"/>
          <c:x val="-0.001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125"/>
          <c:w val="0.94675"/>
          <c:h val="0.79375"/>
        </c:manualLayout>
      </c:layout>
      <c:lineChart>
        <c:grouping val="standard"/>
        <c:varyColors val="0"/>
        <c:ser>
          <c:idx val="0"/>
          <c:order val="0"/>
          <c:tx>
            <c:strRef>
              <c:f>Sheet1!$Q$11</c:f>
              <c:strCache>
                <c:ptCount val="1"/>
                <c:pt idx="0">
                  <c:v>Average Cost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Sheet1!$P$12:$P$28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Sheet1!$Q$12:$Q$28</c:f>
              <c:numCache>
                <c:ptCount val="17"/>
                <c:pt idx="1">
                  <c:v>468.9655661827812</c:v>
                </c:pt>
                <c:pt idx="2">
                  <c:v>257.25928309139056</c:v>
                </c:pt>
                <c:pt idx="3">
                  <c:v>192.0238553942604</c:v>
                </c:pt>
                <c:pt idx="4">
                  <c:v>163.4061415456953</c:v>
                </c:pt>
                <c:pt idx="5">
                  <c:v>149.43551323655623</c:v>
                </c:pt>
                <c:pt idx="6">
                  <c:v>142.7884276971302</c:v>
                </c:pt>
                <c:pt idx="7">
                  <c:v>140.32622374039732</c:v>
                </c:pt>
                <c:pt idx="8">
                  <c:v>140.47957077284764</c:v>
                </c:pt>
                <c:pt idx="9">
                  <c:v>142.37661846475348</c:v>
                </c:pt>
                <c:pt idx="10">
                  <c:v>145.49425661827814</c:v>
                </c:pt>
                <c:pt idx="11">
                  <c:v>149.49959692570738</c:v>
                </c:pt>
                <c:pt idx="12">
                  <c:v>154.1707138485651</c:v>
                </c:pt>
                <c:pt idx="13">
                  <c:v>159.35396662944473</c:v>
                </c:pt>
                <c:pt idx="14">
                  <c:v>164.93961187019866</c:v>
                </c:pt>
                <c:pt idx="15">
                  <c:v>170.84717107885209</c:v>
                </c:pt>
                <c:pt idx="16">
                  <c:v>177.01628538642382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Sheet1!$R$11</c:f>
              <c:strCache>
                <c:ptCount val="1"/>
                <c:pt idx="0">
                  <c:v>Marginal Cost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Sheet1!$P$12:$P$28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Sheet1!$R$12:$R$28</c:f>
              <c:numCache>
                <c:ptCount val="17"/>
                <c:pt idx="1">
                  <c:v>37.553</c:v>
                </c:pt>
                <c:pt idx="2">
                  <c:v>53.553</c:v>
                </c:pt>
                <c:pt idx="3">
                  <c:v>69.553</c:v>
                </c:pt>
                <c:pt idx="4">
                  <c:v>85.553</c:v>
                </c:pt>
                <c:pt idx="5">
                  <c:v>101.553</c:v>
                </c:pt>
                <c:pt idx="6">
                  <c:v>117.553</c:v>
                </c:pt>
                <c:pt idx="7">
                  <c:v>133.553</c:v>
                </c:pt>
                <c:pt idx="8">
                  <c:v>149.553</c:v>
                </c:pt>
                <c:pt idx="9">
                  <c:v>165.553</c:v>
                </c:pt>
                <c:pt idx="10">
                  <c:v>181.553</c:v>
                </c:pt>
                <c:pt idx="11">
                  <c:v>197.553</c:v>
                </c:pt>
                <c:pt idx="12">
                  <c:v>213.553</c:v>
                </c:pt>
                <c:pt idx="13">
                  <c:v>229.553</c:v>
                </c:pt>
                <c:pt idx="14">
                  <c:v>245.553</c:v>
                </c:pt>
                <c:pt idx="15">
                  <c:v>261.553</c:v>
                </c:pt>
                <c:pt idx="16">
                  <c:v>277.553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Sheet1!$S$11</c:f>
              <c:strCache>
                <c:ptCount val="1"/>
                <c:pt idx="0">
                  <c:v>Competitive Price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6411"/>
                </a:solidFill>
              </a:ln>
            </c:spPr>
          </c:marker>
          <c:cat>
            <c:numRef>
              <c:f>Sheet1!$P$12:$P$28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Sheet1!$S$12:$S$28</c:f>
              <c:numCache>
                <c:ptCount val="17"/>
                <c:pt idx="0">
                  <c:v>140.13333333333333</c:v>
                </c:pt>
                <c:pt idx="1">
                  <c:v>140.13333333333333</c:v>
                </c:pt>
                <c:pt idx="2">
                  <c:v>140.13333333333333</c:v>
                </c:pt>
                <c:pt idx="3">
                  <c:v>140.13333333333333</c:v>
                </c:pt>
                <c:pt idx="4">
                  <c:v>140.13333333333333</c:v>
                </c:pt>
                <c:pt idx="5">
                  <c:v>140.13333333333333</c:v>
                </c:pt>
                <c:pt idx="6">
                  <c:v>140.13333333333333</c:v>
                </c:pt>
                <c:pt idx="7">
                  <c:v>140.13333333333333</c:v>
                </c:pt>
                <c:pt idx="8">
                  <c:v>140.13333333333333</c:v>
                </c:pt>
                <c:pt idx="9">
                  <c:v>140.13333333333333</c:v>
                </c:pt>
                <c:pt idx="10">
                  <c:v>140.13333333333333</c:v>
                </c:pt>
                <c:pt idx="11">
                  <c:v>140.13333333333333</c:v>
                </c:pt>
                <c:pt idx="12">
                  <c:v>140.13333333333333</c:v>
                </c:pt>
                <c:pt idx="13">
                  <c:v>140.13333333333333</c:v>
                </c:pt>
                <c:pt idx="14">
                  <c:v>140.13333333333333</c:v>
                </c:pt>
                <c:pt idx="15">
                  <c:v>140.13333333333333</c:v>
                </c:pt>
                <c:pt idx="16">
                  <c:v>140.13333333333333</c:v>
                </c:pt>
              </c:numCache>
            </c:numRef>
          </c:val>
          <c:smooth val="0"/>
        </c:ser>
        <c:marker val="1"/>
        <c:axId val="15036910"/>
        <c:axId val="1114463"/>
      </c:lineChart>
      <c:catAx>
        <c:axId val="1503691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114463"/>
        <c:crosses val="autoZero"/>
        <c:auto val="0"/>
        <c:lblOffset val="100"/>
        <c:noMultiLvlLbl val="0"/>
      </c:catAx>
      <c:valAx>
        <c:axId val="1114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#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15036910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35"/>
          <c:y val="0.9255"/>
          <c:w val="0.51175"/>
          <c:h val="0.0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3
Profitability and Management/Marketing Share of Total Costs</a:t>
            </a:r>
          </a:p>
        </c:rich>
      </c:tx>
      <c:layout>
        <c:manualLayout>
          <c:xMode val="factor"/>
          <c:yMode val="factor"/>
          <c:x val="-0.002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6875"/>
          <c:w val="0.9772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Sheet1!$R$236</c:f>
              <c:strCache>
                <c:ptCount val="1"/>
                <c:pt idx="0">
                  <c:v>RORS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Sheet1!$R$237:$R$244</c:f>
              <c:numCache>
                <c:ptCount val="8"/>
                <c:pt idx="0">
                  <c:v>0.7773908057450076</c:v>
                </c:pt>
                <c:pt idx="1">
                  <c:v>0.7470032909205897</c:v>
                </c:pt>
                <c:pt idx="2">
                  <c:v>0.6452074963929979</c:v>
                </c:pt>
                <c:pt idx="3">
                  <c:v>0.4440236163903003</c:v>
                </c:pt>
                <c:pt idx="4">
                  <c:v>3.280833396669124E-06</c:v>
                </c:pt>
                <c:pt idx="5">
                  <c:v>-0.4051136703159764</c:v>
                </c:pt>
                <c:pt idx="6">
                  <c:v>-0.789785323617914</c:v>
                </c:pt>
                <c:pt idx="7">
                  <c:v>-1.2469383412949628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Sheet1!$S$236</c:f>
              <c:strCache>
                <c:ptCount val="1"/>
                <c:pt idx="0">
                  <c:v>M/M Mkt.Share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Sheet1!$S$237:$S$244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0030168"/>
        <c:axId val="23162649"/>
      </c:lineChart>
      <c:catAx>
        <c:axId val="100301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3162649"/>
        <c:crosses val="autoZero"/>
        <c:auto val="0"/>
        <c:lblOffset val="100"/>
        <c:noMultiLvlLbl val="0"/>
      </c:catAx>
      <c:valAx>
        <c:axId val="23162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10030168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"/>
          <c:y val="0.91225"/>
          <c:w val="0.44475"/>
          <c:h val="0.07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7
Optimal Output and Inventory under Random Demand,
(from Model A, below)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5575"/>
          <c:w val="0.9742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Sheet1!$C$791</c:f>
              <c:strCache>
                <c:ptCount val="1"/>
                <c:pt idx="0">
                  <c:v>Qe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Sheet1!$B$792:$B$816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Sheet1!$C$792:$C$816</c:f>
              <c:numCache>
                <c:ptCount val="25"/>
                <c:pt idx="0">
                  <c:v>0.7096167009772978</c:v>
                </c:pt>
                <c:pt idx="1">
                  <c:v>0.7745776508339384</c:v>
                </c:pt>
                <c:pt idx="2">
                  <c:v>2.0099757291124742</c:v>
                </c:pt>
                <c:pt idx="3">
                  <c:v>2.035777739472726</c:v>
                </c:pt>
                <c:pt idx="4">
                  <c:v>2.2860821604665116</c:v>
                </c:pt>
                <c:pt idx="5">
                  <c:v>2.4501237040212676</c:v>
                </c:pt>
                <c:pt idx="6">
                  <c:v>2.576422649009791</c:v>
                </c:pt>
                <c:pt idx="7">
                  <c:v>3.3344168377372707</c:v>
                </c:pt>
                <c:pt idx="8">
                  <c:v>3.5607791118276477</c:v>
                </c:pt>
                <c:pt idx="9">
                  <c:v>3.9669631437474973</c:v>
                </c:pt>
                <c:pt idx="10">
                  <c:v>4.172638598454759</c:v>
                </c:pt>
                <c:pt idx="11">
                  <c:v>4.513327626066959</c:v>
                </c:pt>
                <c:pt idx="12">
                  <c:v>5.710568459563339</c:v>
                </c:pt>
                <c:pt idx="13">
                  <c:v>5.838045657187783</c:v>
                </c:pt>
                <c:pt idx="14">
                  <c:v>6.099186395022249</c:v>
                </c:pt>
                <c:pt idx="15">
                  <c:v>6.746734144941078</c:v>
                </c:pt>
                <c:pt idx="16">
                  <c:v>7.264195522456438</c:v>
                </c:pt>
                <c:pt idx="17">
                  <c:v>7.548093081733347</c:v>
                </c:pt>
                <c:pt idx="18">
                  <c:v>8.195679309950341</c:v>
                </c:pt>
                <c:pt idx="19">
                  <c:v>8.557253313184807</c:v>
                </c:pt>
                <c:pt idx="20">
                  <c:v>8.92830288597323</c:v>
                </c:pt>
                <c:pt idx="21">
                  <c:v>9.189627367051534</c:v>
                </c:pt>
                <c:pt idx="22">
                  <c:v>9.485799633839198</c:v>
                </c:pt>
                <c:pt idx="23">
                  <c:v>9.823501830954475</c:v>
                </c:pt>
                <c:pt idx="24">
                  <c:v>9.837471638550275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Sheet1!$D$791</c:f>
              <c:strCache>
                <c:ptCount val="1"/>
                <c:pt idx="0">
                  <c:v>Inventory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Sheet1!$B$792:$B$816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Sheet1!$D$792:$D$816</c:f>
              <c:numCache>
                <c:ptCount val="25"/>
                <c:pt idx="0">
                  <c:v>0.3319690854006956</c:v>
                </c:pt>
                <c:pt idx="1">
                  <c:v>0.3468312401940036</c:v>
                </c:pt>
                <c:pt idx="2">
                  <c:v>0.5587031687140921</c:v>
                </c:pt>
                <c:pt idx="3">
                  <c:v>0.5622777631563552</c:v>
                </c:pt>
                <c:pt idx="4">
                  <c:v>0.5958427305258068</c:v>
                </c:pt>
                <c:pt idx="5">
                  <c:v>0.6168502340394326</c:v>
                </c:pt>
                <c:pt idx="6">
                  <c:v>0.6325491580827695</c:v>
                </c:pt>
                <c:pt idx="7">
                  <c:v>0.7196074866902082</c:v>
                </c:pt>
                <c:pt idx="8">
                  <c:v>0.7436322989669247</c:v>
                </c:pt>
                <c:pt idx="9">
                  <c:v>0.7849008703167466</c:v>
                </c:pt>
                <c:pt idx="10">
                  <c:v>0.8049911641378582</c:v>
                </c:pt>
                <c:pt idx="11">
                  <c:v>0.837209519969881</c:v>
                </c:pt>
                <c:pt idx="12">
                  <c:v>0.9417278172434891</c:v>
                </c:pt>
                <c:pt idx="13">
                  <c:v>0.9521809127268108</c:v>
                </c:pt>
                <c:pt idx="14">
                  <c:v>0.9732438785561177</c:v>
                </c:pt>
                <c:pt idx="15">
                  <c:v>1.0236053012315585</c:v>
                </c:pt>
                <c:pt idx="16">
                  <c:v>1.0621344381185862</c:v>
                </c:pt>
                <c:pt idx="17">
                  <c:v>1.0826905631773045</c:v>
                </c:pt>
                <c:pt idx="18">
                  <c:v>1.1281795055908823</c:v>
                </c:pt>
                <c:pt idx="19">
                  <c:v>1.1527972239459985</c:v>
                </c:pt>
                <c:pt idx="20">
                  <c:v>1.1775251327218637</c:v>
                </c:pt>
                <c:pt idx="21">
                  <c:v>1.1946334710291282</c:v>
                </c:pt>
                <c:pt idx="22">
                  <c:v>1.2137317179406772</c:v>
                </c:pt>
                <c:pt idx="23">
                  <c:v>1.2351476973816653</c:v>
                </c:pt>
                <c:pt idx="24">
                  <c:v>1.2360256249232284</c:v>
                </c:pt>
              </c:numCache>
            </c:numRef>
          </c:val>
          <c:smooth val="0"/>
        </c:ser>
        <c:marker val="1"/>
        <c:axId val="7137250"/>
        <c:axId val="64235251"/>
      </c:lineChart>
      <c:catAx>
        <c:axId val="7137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235251"/>
        <c:crosses val="autoZero"/>
        <c:auto val="0"/>
        <c:lblOffset val="100"/>
        <c:noMultiLvlLbl val="0"/>
      </c:catAx>
      <c:valAx>
        <c:axId val="64235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7137250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ayout>
        <c:manualLayout>
          <c:xMode val="edge"/>
          <c:yMode val="edge"/>
          <c:x val="0.4005"/>
          <c:y val="0.954"/>
          <c:w val="0.275"/>
          <c:h val="0.04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</cdr:y>
    </cdr:from>
    <cdr:to>
      <cdr:x>0.6485</cdr:x>
      <cdr:y>0.056</cdr:y>
    </cdr:to>
    <cdr:sp>
      <cdr:nvSpPr>
        <cdr:cNvPr id="1" name="Text 1"/>
        <cdr:cNvSpPr txBox="1">
          <a:spLocks noChangeArrowheads="1"/>
        </cdr:cNvSpPr>
      </cdr:nvSpPr>
      <cdr:spPr>
        <a:xfrm>
          <a:off x="1047750" y="0"/>
          <a:ext cx="2266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
Random Demand Monopoly Profit Maximization</a:t>
          </a:r>
        </a:p>
      </cdr:txBody>
    </cdr:sp>
  </cdr:relSizeAnchor>
  <cdr:relSizeAnchor xmlns:cdr="http://schemas.openxmlformats.org/drawingml/2006/chartDrawing">
    <cdr:from>
      <cdr:x>0.27</cdr:x>
      <cdr:y>0.00325</cdr:y>
    </cdr:from>
    <cdr:to>
      <cdr:x>0.74775</cdr:x>
      <cdr:y>0.1105</cdr:y>
    </cdr:to>
    <cdr:sp>
      <cdr:nvSpPr>
        <cdr:cNvPr id="2" name="Text 2"/>
        <cdr:cNvSpPr txBox="1">
          <a:spLocks noChangeArrowheads="1"/>
        </cdr:cNvSpPr>
      </cdr:nvSpPr>
      <cdr:spPr>
        <a:xfrm>
          <a:off x="1381125" y="9525"/>
          <a:ext cx="24479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/>
            <a:t>Figure 8
Random Demand Monopoly Profit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0.94575</cdr:y>
    </cdr:from>
    <cdr:to>
      <cdr:x>0.9815</cdr:x>
      <cdr:y>0.9885</cdr:y>
    </cdr:to>
    <cdr:sp>
      <cdr:nvSpPr>
        <cdr:cNvPr id="1" name="Text 1"/>
        <cdr:cNvSpPr txBox="1">
          <a:spLocks noChangeArrowheads="1"/>
        </cdr:cNvSpPr>
      </cdr:nvSpPr>
      <cdr:spPr>
        <a:xfrm>
          <a:off x="4448175" y="4419600"/>
          <a:ext cx="990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Simulation Run</a:t>
          </a:r>
        </a:p>
      </cdr:txBody>
    </cdr:sp>
  </cdr:relSizeAnchor>
  <cdr:relSizeAnchor xmlns:cdr="http://schemas.openxmlformats.org/drawingml/2006/chartDrawing">
    <cdr:from>
      <cdr:x>0.002</cdr:x>
      <cdr:y>0.12475</cdr:y>
    </cdr:from>
    <cdr:to>
      <cdr:x>0.21675</cdr:x>
      <cdr:y>0.1675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581025"/>
          <a:ext cx="1190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Optimal Quantities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631</xdr:row>
      <xdr:rowOff>9525</xdr:rowOff>
    </xdr:from>
    <xdr:to>
      <xdr:col>8</xdr:col>
      <xdr:colOff>123825</xdr:colOff>
      <xdr:row>647</xdr:row>
      <xdr:rowOff>9525</xdr:rowOff>
    </xdr:to>
    <xdr:graphicFrame>
      <xdr:nvGraphicFramePr>
        <xdr:cNvPr id="1" name="Chart 4"/>
        <xdr:cNvGraphicFramePr/>
      </xdr:nvGraphicFramePr>
      <xdr:xfrm>
        <a:off x="676275" y="112871250"/>
        <a:ext cx="59912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390525</xdr:colOff>
      <xdr:row>874</xdr:row>
      <xdr:rowOff>9525</xdr:rowOff>
    </xdr:from>
    <xdr:to>
      <xdr:col>7</xdr:col>
      <xdr:colOff>904875</xdr:colOff>
      <xdr:row>896</xdr:row>
      <xdr:rowOff>152400</xdr:rowOff>
    </xdr:to>
    <xdr:graphicFrame>
      <xdr:nvGraphicFramePr>
        <xdr:cNvPr id="2" name="Chart 5"/>
        <xdr:cNvGraphicFramePr/>
      </xdr:nvGraphicFramePr>
      <xdr:xfrm>
        <a:off x="1162050" y="155819475"/>
        <a:ext cx="512445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235</xdr:row>
      <xdr:rowOff>123825</xdr:rowOff>
    </xdr:from>
    <xdr:to>
      <xdr:col>8</xdr:col>
      <xdr:colOff>542925</xdr:colOff>
      <xdr:row>254</xdr:row>
      <xdr:rowOff>38100</xdr:rowOff>
    </xdr:to>
    <xdr:graphicFrame>
      <xdr:nvGraphicFramePr>
        <xdr:cNvPr id="3" name="Chart 10"/>
        <xdr:cNvGraphicFramePr/>
      </xdr:nvGraphicFramePr>
      <xdr:xfrm>
        <a:off x="447675" y="42214800"/>
        <a:ext cx="66389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257175</xdr:colOff>
      <xdr:row>360</xdr:row>
      <xdr:rowOff>9525</xdr:rowOff>
    </xdr:from>
    <xdr:to>
      <xdr:col>8</xdr:col>
      <xdr:colOff>371475</xdr:colOff>
      <xdr:row>378</xdr:row>
      <xdr:rowOff>161925</xdr:rowOff>
    </xdr:to>
    <xdr:graphicFrame>
      <xdr:nvGraphicFramePr>
        <xdr:cNvPr id="4" name="Chart 15"/>
        <xdr:cNvGraphicFramePr/>
      </xdr:nvGraphicFramePr>
      <xdr:xfrm>
        <a:off x="638175" y="63950850"/>
        <a:ext cx="62769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593</xdr:row>
      <xdr:rowOff>28575</xdr:rowOff>
    </xdr:from>
    <xdr:to>
      <xdr:col>8</xdr:col>
      <xdr:colOff>238125</xdr:colOff>
      <xdr:row>610</xdr:row>
      <xdr:rowOff>95250</xdr:rowOff>
    </xdr:to>
    <xdr:graphicFrame>
      <xdr:nvGraphicFramePr>
        <xdr:cNvPr id="5" name="Chart 16"/>
        <xdr:cNvGraphicFramePr/>
      </xdr:nvGraphicFramePr>
      <xdr:xfrm>
        <a:off x="409575" y="106279950"/>
        <a:ext cx="6372225" cy="2981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130</xdr:row>
      <xdr:rowOff>9525</xdr:rowOff>
    </xdr:from>
    <xdr:to>
      <xdr:col>8</xdr:col>
      <xdr:colOff>885825</xdr:colOff>
      <xdr:row>147</xdr:row>
      <xdr:rowOff>142875</xdr:rowOff>
    </xdr:to>
    <xdr:graphicFrame>
      <xdr:nvGraphicFramePr>
        <xdr:cNvPr id="6" name="Chart 18"/>
        <xdr:cNvGraphicFramePr/>
      </xdr:nvGraphicFramePr>
      <xdr:xfrm>
        <a:off x="400050" y="22869525"/>
        <a:ext cx="7029450" cy="3048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47625</xdr:colOff>
      <xdr:row>279</xdr:row>
      <xdr:rowOff>28575</xdr:rowOff>
    </xdr:from>
    <xdr:to>
      <xdr:col>8</xdr:col>
      <xdr:colOff>152400</xdr:colOff>
      <xdr:row>291</xdr:row>
      <xdr:rowOff>161925</xdr:rowOff>
    </xdr:to>
    <xdr:graphicFrame>
      <xdr:nvGraphicFramePr>
        <xdr:cNvPr id="7" name="Chart 19"/>
        <xdr:cNvGraphicFramePr/>
      </xdr:nvGraphicFramePr>
      <xdr:xfrm>
        <a:off x="819150" y="49701450"/>
        <a:ext cx="58769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381000</xdr:colOff>
      <xdr:row>741</xdr:row>
      <xdr:rowOff>0</xdr:rowOff>
    </xdr:from>
    <xdr:to>
      <xdr:col>8</xdr:col>
      <xdr:colOff>152400</xdr:colOff>
      <xdr:row>769</xdr:row>
      <xdr:rowOff>133350</xdr:rowOff>
    </xdr:to>
    <xdr:graphicFrame>
      <xdr:nvGraphicFramePr>
        <xdr:cNvPr id="8" name="Chart 23"/>
        <xdr:cNvGraphicFramePr/>
      </xdr:nvGraphicFramePr>
      <xdr:xfrm>
        <a:off x="1152525" y="132588000"/>
        <a:ext cx="5543550" cy="4676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90"/>
  <sheetViews>
    <sheetView tabSelected="1" workbookViewId="0" topLeftCell="A1">
      <selection activeCell="B2" sqref="B2"/>
    </sheetView>
  </sheetViews>
  <sheetFormatPr defaultColWidth="11.00390625" defaultRowHeight="12.75"/>
  <cols>
    <col min="1" max="1" width="5.00390625" style="1" customWidth="1"/>
    <col min="2" max="2" width="5.125" style="1" customWidth="1"/>
    <col min="3" max="3" width="10.125" style="30" customWidth="1"/>
    <col min="4" max="4" width="11.625" style="1" customWidth="1"/>
    <col min="5" max="5" width="10.75390625" style="1" customWidth="1"/>
    <col min="6" max="6" width="14.875" style="1" customWidth="1"/>
    <col min="7" max="7" width="13.125" style="1" customWidth="1"/>
    <col min="8" max="8" width="15.25390625" style="1" customWidth="1"/>
    <col min="9" max="9" width="13.375" style="1" customWidth="1"/>
    <col min="10" max="10" width="2.375" style="1" customWidth="1"/>
    <col min="11" max="11" width="3.875" style="1" customWidth="1"/>
    <col min="12" max="12" width="7.625" style="1" customWidth="1"/>
    <col min="13" max="14" width="1.12109375" style="1" customWidth="1"/>
    <col min="15" max="15" width="1.875" style="1" customWidth="1"/>
    <col min="16" max="16" width="10.75390625" style="1" customWidth="1"/>
    <col min="17" max="17" width="11.25390625" style="1" customWidth="1"/>
    <col min="18" max="21" width="10.75390625" style="1" customWidth="1"/>
    <col min="22" max="22" width="6.625" style="1" customWidth="1"/>
    <col min="23" max="24" width="10.75390625" style="1" customWidth="1"/>
    <col min="25" max="25" width="7.875" style="1" customWidth="1"/>
    <col min="26" max="16384" width="10.75390625" style="1" customWidth="1"/>
  </cols>
  <sheetData>
    <row r="1" ht="13.5" thickBot="1">
      <c r="K1"/>
    </row>
    <row r="2" spans="3:8" ht="15.75" thickBot="1">
      <c r="C2" s="567"/>
      <c r="D2" s="568"/>
      <c r="E2" s="568"/>
      <c r="F2" s="569" t="s">
        <v>41</v>
      </c>
      <c r="G2" s="570"/>
      <c r="H2" s="571"/>
    </row>
    <row r="3" spans="2:8" ht="13.5">
      <c r="B3" s="1" t="s">
        <v>660</v>
      </c>
      <c r="H3" s="100" t="s">
        <v>40</v>
      </c>
    </row>
    <row r="4" ht="13.5">
      <c r="B4" s="92" t="s">
        <v>42</v>
      </c>
    </row>
    <row r="5" spans="2:3" s="90" customFormat="1" ht="13.5">
      <c r="B5" s="91" t="s">
        <v>43</v>
      </c>
      <c r="C5"/>
    </row>
    <row r="6" spans="2:3" s="90" customFormat="1" ht="13.5">
      <c r="B6" s="91" t="s">
        <v>44</v>
      </c>
      <c r="C6"/>
    </row>
    <row r="7" spans="2:3" s="90" customFormat="1" ht="13.5">
      <c r="B7" s="91" t="s">
        <v>45</v>
      </c>
      <c r="C7"/>
    </row>
    <row r="8" spans="2:23" ht="13.5">
      <c r="B8" s="91" t="s">
        <v>46</v>
      </c>
      <c r="C8"/>
      <c r="P8"/>
      <c r="Q8"/>
      <c r="R8"/>
      <c r="S8"/>
      <c r="T8"/>
      <c r="U8"/>
      <c r="V8"/>
      <c r="W8"/>
    </row>
    <row r="9" spans="2:23" ht="13.5">
      <c r="B9" s="91" t="s">
        <v>47</v>
      </c>
      <c r="C9"/>
      <c r="P9"/>
      <c r="Q9"/>
      <c r="R9"/>
      <c r="S9"/>
      <c r="T9"/>
      <c r="U9"/>
      <c r="V9"/>
      <c r="W9"/>
    </row>
    <row r="10" spans="3:23" ht="15" thickBot="1">
      <c r="C10" s="1"/>
      <c r="D10" s="14"/>
      <c r="E10" s="19"/>
      <c r="F10" s="128" t="s">
        <v>48</v>
      </c>
      <c r="G10" s="20"/>
      <c r="H10" s="14"/>
      <c r="I10"/>
      <c r="N10"/>
      <c r="O10"/>
      <c r="P10"/>
      <c r="Q10">
        <v>1</v>
      </c>
      <c r="R10" s="127" t="s">
        <v>49</v>
      </c>
      <c r="S10"/>
      <c r="T10"/>
      <c r="U10" s="127" t="s">
        <v>50</v>
      </c>
      <c r="V10"/>
      <c r="W10"/>
    </row>
    <row r="11" spans="3:25" ht="15" thickBot="1">
      <c r="C11" s="564" t="s">
        <v>51</v>
      </c>
      <c r="D11" s="565"/>
      <c r="E11" s="364"/>
      <c r="F11" s="364"/>
      <c r="G11" s="535" t="s">
        <v>52</v>
      </c>
      <c r="H11" s="536" t="s">
        <v>53</v>
      </c>
      <c r="I11"/>
      <c r="N11"/>
      <c r="O11"/>
      <c r="P11" s="6" t="s">
        <v>54</v>
      </c>
      <c r="Q11" s="84" t="s">
        <v>55</v>
      </c>
      <c r="R11" s="84" t="s">
        <v>56</v>
      </c>
      <c r="S11" s="7" t="s">
        <v>57</v>
      </c>
      <c r="T11" s="84" t="s">
        <v>58</v>
      </c>
      <c r="U11" s="6" t="s">
        <v>54</v>
      </c>
      <c r="V11" s="1" t="s">
        <v>55</v>
      </c>
      <c r="W11" s="1" t="s">
        <v>56</v>
      </c>
      <c r="X11" s="1" t="s">
        <v>57</v>
      </c>
      <c r="Y11" s="1" t="s">
        <v>58</v>
      </c>
    </row>
    <row r="12" spans="3:25" ht="13.5">
      <c r="C12" s="22"/>
      <c r="D12" s="147"/>
      <c r="E12" s="90"/>
      <c r="F12" s="100" t="s">
        <v>59</v>
      </c>
      <c r="G12" s="537">
        <v>1230</v>
      </c>
      <c r="H12" s="299">
        <v>1230</v>
      </c>
      <c r="I12"/>
      <c r="N12"/>
      <c r="O12"/>
      <c r="P12" s="1">
        <v>0</v>
      </c>
      <c r="Q12" s="93"/>
      <c r="R12" s="93"/>
      <c r="S12" s="93">
        <f aca="true" t="shared" si="0" ref="S12:S28">$G$91</f>
        <v>140.13333333333333</v>
      </c>
      <c r="T12" s="93">
        <f aca="true" t="shared" si="1" ref="T12:T28">$D$100+$E$100*P12+$G$100*(P12^2)</f>
        <v>439.4125661827812</v>
      </c>
      <c r="U12" s="1">
        <v>0</v>
      </c>
      <c r="V12" s="84"/>
      <c r="W12" s="84"/>
      <c r="X12" s="93">
        <f aca="true" t="shared" si="2" ref="X12:X28">$G$91</f>
        <v>140.13333333333333</v>
      </c>
      <c r="Y12" s="84"/>
    </row>
    <row r="13" spans="3:25" ht="13.5">
      <c r="C13" s="22"/>
      <c r="D13" s="147"/>
      <c r="E13" s="90"/>
      <c r="F13" s="100" t="s">
        <v>60</v>
      </c>
      <c r="G13" s="537">
        <v>-4</v>
      </c>
      <c r="H13" s="299">
        <v>-4</v>
      </c>
      <c r="I13"/>
      <c r="N13"/>
      <c r="O13"/>
      <c r="P13" s="1">
        <f aca="true" t="shared" si="3" ref="P13:P28">P12+$Q$10</f>
        <v>1</v>
      </c>
      <c r="Q13" s="93">
        <f aca="true" t="shared" si="4" ref="Q13:Q28">T13/P13</f>
        <v>468.9655661827812</v>
      </c>
      <c r="R13" s="93">
        <f aca="true" t="shared" si="5" ref="R13:R28">$D$108+$F$108*P13</f>
        <v>37.553</v>
      </c>
      <c r="S13" s="93">
        <f t="shared" si="0"/>
        <v>140.13333333333333</v>
      </c>
      <c r="T13" s="93">
        <f t="shared" si="1"/>
        <v>468.9655661827812</v>
      </c>
      <c r="U13" s="1">
        <f aca="true" t="shared" si="6" ref="U13:U28">U12+$Q$10</f>
        <v>1</v>
      </c>
      <c r="V13" s="93">
        <f aca="true" t="shared" si="7" ref="V13:V28">Y13/U13</f>
        <v>468.9655661827812</v>
      </c>
      <c r="W13" s="93">
        <f aca="true" t="shared" si="8" ref="W13:W28">$D$179+$F$179*U13</f>
        <v>37.553</v>
      </c>
      <c r="X13" s="93">
        <f t="shared" si="2"/>
        <v>140.13333333333333</v>
      </c>
      <c r="Y13" s="93">
        <f aca="true" t="shared" si="9" ref="Y13:Y28">$D$175+$E$175*U13+$G$175*(U13^2)</f>
        <v>468.9655661827812</v>
      </c>
    </row>
    <row r="14" spans="3:25" ht="13.5">
      <c r="C14" s="22"/>
      <c r="D14" s="147"/>
      <c r="E14" s="90"/>
      <c r="F14" s="100" t="s">
        <v>61</v>
      </c>
      <c r="G14" s="537">
        <v>3.9</v>
      </c>
      <c r="H14" s="299">
        <v>3.9</v>
      </c>
      <c r="I14"/>
      <c r="N14"/>
      <c r="O14"/>
      <c r="P14" s="1">
        <f t="shared" si="3"/>
        <v>2</v>
      </c>
      <c r="Q14" s="93">
        <f t="shared" si="4"/>
        <v>257.25928309139056</v>
      </c>
      <c r="R14" s="93">
        <f t="shared" si="5"/>
        <v>53.553</v>
      </c>
      <c r="S14" s="93">
        <f t="shared" si="0"/>
        <v>140.13333333333333</v>
      </c>
      <c r="T14" s="93">
        <f t="shared" si="1"/>
        <v>514.5185661827811</v>
      </c>
      <c r="U14" s="1">
        <f t="shared" si="6"/>
        <v>2</v>
      </c>
      <c r="V14" s="93">
        <f t="shared" si="7"/>
        <v>257.25928309139056</v>
      </c>
      <c r="W14" s="93">
        <f t="shared" si="8"/>
        <v>53.553</v>
      </c>
      <c r="X14" s="93">
        <f t="shared" si="2"/>
        <v>140.13333333333333</v>
      </c>
      <c r="Y14" s="93">
        <f t="shared" si="9"/>
        <v>514.5185661827811</v>
      </c>
    </row>
    <row r="15" spans="3:25" ht="15" thickBot="1">
      <c r="C15" s="22"/>
      <c r="D15" s="538"/>
      <c r="E15" s="538"/>
      <c r="F15" s="539" t="s">
        <v>62</v>
      </c>
      <c r="G15" s="537">
        <v>0.5</v>
      </c>
      <c r="H15" s="299">
        <v>0.5</v>
      </c>
      <c r="I15"/>
      <c r="N15"/>
      <c r="O15"/>
      <c r="P15" s="1">
        <f t="shared" si="3"/>
        <v>3</v>
      </c>
      <c r="Q15" s="93">
        <f t="shared" si="4"/>
        <v>192.0238553942604</v>
      </c>
      <c r="R15" s="93">
        <f t="shared" si="5"/>
        <v>69.553</v>
      </c>
      <c r="S15" s="93">
        <f t="shared" si="0"/>
        <v>140.13333333333333</v>
      </c>
      <c r="T15" s="93">
        <f t="shared" si="1"/>
        <v>576.0715661827812</v>
      </c>
      <c r="U15" s="1">
        <f t="shared" si="6"/>
        <v>3</v>
      </c>
      <c r="V15" s="93">
        <f t="shared" si="7"/>
        <v>192.0238553942604</v>
      </c>
      <c r="W15" s="93">
        <f t="shared" si="8"/>
        <v>69.553</v>
      </c>
      <c r="X15" s="93">
        <f t="shared" si="2"/>
        <v>140.13333333333333</v>
      </c>
      <c r="Y15" s="93">
        <f t="shared" si="9"/>
        <v>576.0715661827812</v>
      </c>
    </row>
    <row r="16" spans="3:25" ht="15" thickBot="1">
      <c r="C16" s="564" t="s">
        <v>63</v>
      </c>
      <c r="D16" s="566"/>
      <c r="E16" s="540"/>
      <c r="F16" s="243"/>
      <c r="G16" s="241"/>
      <c r="H16" s="541"/>
      <c r="I16"/>
      <c r="N16"/>
      <c r="O16"/>
      <c r="P16" s="1">
        <f t="shared" si="3"/>
        <v>4</v>
      </c>
      <c r="Q16" s="93">
        <f t="shared" si="4"/>
        <v>163.4061415456953</v>
      </c>
      <c r="R16" s="93">
        <f t="shared" si="5"/>
        <v>85.553</v>
      </c>
      <c r="S16" s="93">
        <f t="shared" si="0"/>
        <v>140.13333333333333</v>
      </c>
      <c r="T16" s="93">
        <f t="shared" si="1"/>
        <v>653.6245661827812</v>
      </c>
      <c r="U16" s="1">
        <f t="shared" si="6"/>
        <v>4</v>
      </c>
      <c r="V16" s="93">
        <f t="shared" si="7"/>
        <v>163.4061415456953</v>
      </c>
      <c r="W16" s="93">
        <f t="shared" si="8"/>
        <v>85.553</v>
      </c>
      <c r="X16" s="93">
        <f t="shared" si="2"/>
        <v>140.13333333333333</v>
      </c>
      <c r="Y16" s="93">
        <f t="shared" si="9"/>
        <v>653.6245661827812</v>
      </c>
    </row>
    <row r="17" spans="3:25" ht="13.5">
      <c r="C17" s="22"/>
      <c r="D17" s="156"/>
      <c r="E17" s="90"/>
      <c r="F17" s="100" t="s">
        <v>64</v>
      </c>
      <c r="G17" s="542">
        <f>($G$25*G26)</f>
        <v>439.4125661827812</v>
      </c>
      <c r="H17" s="466">
        <v>439.41</v>
      </c>
      <c r="I17"/>
      <c r="N17"/>
      <c r="O17"/>
      <c r="P17" s="1">
        <f t="shared" si="3"/>
        <v>5</v>
      </c>
      <c r="Q17" s="93">
        <f t="shared" si="4"/>
        <v>149.43551323655623</v>
      </c>
      <c r="R17" s="93">
        <f t="shared" si="5"/>
        <v>101.553</v>
      </c>
      <c r="S17" s="93">
        <f t="shared" si="0"/>
        <v>140.13333333333333</v>
      </c>
      <c r="T17" s="93">
        <f t="shared" si="1"/>
        <v>747.1775661827812</v>
      </c>
      <c r="U17" s="1">
        <f t="shared" si="6"/>
        <v>5</v>
      </c>
      <c r="V17" s="93">
        <f t="shared" si="7"/>
        <v>149.43551323655623</v>
      </c>
      <c r="W17" s="93">
        <f t="shared" si="8"/>
        <v>101.553</v>
      </c>
      <c r="X17" s="93">
        <f t="shared" si="2"/>
        <v>140.13333333333333</v>
      </c>
      <c r="Y17" s="93">
        <f t="shared" si="9"/>
        <v>747.1775661827812</v>
      </c>
    </row>
    <row r="18" spans="3:25" ht="15" thickBot="1">
      <c r="C18" s="22"/>
      <c r="D18" s="147"/>
      <c r="E18" s="90"/>
      <c r="F18" s="100" t="s">
        <v>65</v>
      </c>
      <c r="G18" s="542">
        <f>G28+G29</f>
        <v>21.553</v>
      </c>
      <c r="H18" s="543">
        <f>H28+H29</f>
        <v>21.553</v>
      </c>
      <c r="I18"/>
      <c r="N18"/>
      <c r="O18"/>
      <c r="P18" s="1">
        <f t="shared" si="3"/>
        <v>6</v>
      </c>
      <c r="Q18" s="93">
        <f t="shared" si="4"/>
        <v>142.7884276971302</v>
      </c>
      <c r="R18" s="93">
        <f t="shared" si="5"/>
        <v>117.553</v>
      </c>
      <c r="S18" s="93">
        <f t="shared" si="0"/>
        <v>140.13333333333333</v>
      </c>
      <c r="T18" s="93">
        <f t="shared" si="1"/>
        <v>856.7305661827812</v>
      </c>
      <c r="U18" s="1">
        <f t="shared" si="6"/>
        <v>6</v>
      </c>
      <c r="V18" s="93">
        <f t="shared" si="7"/>
        <v>142.7884276971302</v>
      </c>
      <c r="W18" s="93">
        <f t="shared" si="8"/>
        <v>117.553</v>
      </c>
      <c r="X18" s="93">
        <f t="shared" si="2"/>
        <v>140.13333333333333</v>
      </c>
      <c r="Y18" s="93">
        <f t="shared" si="9"/>
        <v>856.7305661827812</v>
      </c>
    </row>
    <row r="19" spans="3:25" ht="15" thickBot="1">
      <c r="C19" s="22"/>
      <c r="D19" s="538"/>
      <c r="E19" s="538"/>
      <c r="F19" s="539" t="s">
        <v>66</v>
      </c>
      <c r="G19" s="563">
        <f>($G$33^-1)*((($G$35)/($G$34+$G$35))^-(($G$35)/($G$34+$G$35))*((($G$34)/($G$34+$G$35))^-(($G$34)/($G$34+$G$35))*(($G$36^($G$34/($G$34+$G$35)))*($G$37^($G$35/($G$34+$G$35))/($G$34+$G$35)))))</f>
        <v>8</v>
      </c>
      <c r="H19" s="544">
        <f>($G$33^-1)*((($G$35)/($G$34+$G$35))^-(($G$35)/($G$34+$G$35))*((($G$34)/($G$34+$G$35))^-(($G$34)/($G$34+$G$35))*(($G$36^($G$34/($G$34+$G$35)))*($G$37^($G$35/($G$34+$G$35))/($G$34+$G$35)))))</f>
        <v>8</v>
      </c>
      <c r="I19"/>
      <c r="N19"/>
      <c r="O19"/>
      <c r="P19" s="1">
        <f t="shared" si="3"/>
        <v>7</v>
      </c>
      <c r="Q19" s="93">
        <f t="shared" si="4"/>
        <v>140.32622374039732</v>
      </c>
      <c r="R19" s="93">
        <f t="shared" si="5"/>
        <v>133.553</v>
      </c>
      <c r="S19" s="93">
        <f t="shared" si="0"/>
        <v>140.13333333333333</v>
      </c>
      <c r="T19" s="93">
        <f t="shared" si="1"/>
        <v>982.2835661827812</v>
      </c>
      <c r="U19" s="1">
        <f t="shared" si="6"/>
        <v>7</v>
      </c>
      <c r="V19" s="93">
        <f t="shared" si="7"/>
        <v>140.32622374039732</v>
      </c>
      <c r="W19" s="93">
        <f t="shared" si="8"/>
        <v>133.553</v>
      </c>
      <c r="X19" s="93">
        <f t="shared" si="2"/>
        <v>140.13333333333333</v>
      </c>
      <c r="Y19" s="93">
        <f t="shared" si="9"/>
        <v>982.2835661827812</v>
      </c>
    </row>
    <row r="20" spans="3:25" ht="15" thickBot="1">
      <c r="C20" s="564" t="s">
        <v>67</v>
      </c>
      <c r="D20" s="566"/>
      <c r="E20" s="540"/>
      <c r="F20" s="243"/>
      <c r="G20" s="437"/>
      <c r="H20" s="545"/>
      <c r="I20"/>
      <c r="N20"/>
      <c r="O20"/>
      <c r="P20" s="1">
        <f t="shared" si="3"/>
        <v>8</v>
      </c>
      <c r="Q20" s="93">
        <f t="shared" si="4"/>
        <v>140.47957077284764</v>
      </c>
      <c r="R20" s="93">
        <f t="shared" si="5"/>
        <v>149.553</v>
      </c>
      <c r="S20" s="93">
        <f t="shared" si="0"/>
        <v>140.13333333333333</v>
      </c>
      <c r="T20" s="93">
        <f t="shared" si="1"/>
        <v>1123.836566182781</v>
      </c>
      <c r="U20" s="1">
        <f t="shared" si="6"/>
        <v>8</v>
      </c>
      <c r="V20" s="93">
        <f t="shared" si="7"/>
        <v>140.47957077284764</v>
      </c>
      <c r="W20" s="93">
        <f t="shared" si="8"/>
        <v>149.553</v>
      </c>
      <c r="X20" s="93">
        <f t="shared" si="2"/>
        <v>140.13333333333333</v>
      </c>
      <c r="Y20" s="93">
        <f t="shared" si="9"/>
        <v>1123.836566182781</v>
      </c>
    </row>
    <row r="21" spans="3:25" ht="13.5">
      <c r="C21" s="22"/>
      <c r="D21" s="147"/>
      <c r="E21" s="90"/>
      <c r="F21" s="100" t="s">
        <v>68</v>
      </c>
      <c r="G21" s="546">
        <v>0.1</v>
      </c>
      <c r="H21" s="301">
        <v>0.1</v>
      </c>
      <c r="I21"/>
      <c r="N21"/>
      <c r="O21"/>
      <c r="P21" s="1">
        <f t="shared" si="3"/>
        <v>9</v>
      </c>
      <c r="Q21" s="93">
        <f t="shared" si="4"/>
        <v>142.37661846475348</v>
      </c>
      <c r="R21" s="93">
        <f t="shared" si="5"/>
        <v>165.553</v>
      </c>
      <c r="S21" s="93">
        <f t="shared" si="0"/>
        <v>140.13333333333333</v>
      </c>
      <c r="T21" s="93">
        <f t="shared" si="1"/>
        <v>1281.3895661827812</v>
      </c>
      <c r="U21" s="1">
        <f t="shared" si="6"/>
        <v>9</v>
      </c>
      <c r="V21" s="93">
        <f t="shared" si="7"/>
        <v>142.37661846475348</v>
      </c>
      <c r="W21" s="93">
        <f t="shared" si="8"/>
        <v>165.553</v>
      </c>
      <c r="X21" s="93">
        <f t="shared" si="2"/>
        <v>140.13333333333333</v>
      </c>
      <c r="Y21" s="93">
        <f t="shared" si="9"/>
        <v>1281.3895661827812</v>
      </c>
    </row>
    <row r="22" spans="3:25" ht="13.5">
      <c r="C22" s="22"/>
      <c r="D22" s="147"/>
      <c r="E22" s="90"/>
      <c r="F22" s="100" t="s">
        <v>69</v>
      </c>
      <c r="G22" s="427">
        <v>10</v>
      </c>
      <c r="H22" s="299">
        <v>10</v>
      </c>
      <c r="I22"/>
      <c r="N22"/>
      <c r="O22"/>
      <c r="P22" s="1">
        <f t="shared" si="3"/>
        <v>10</v>
      </c>
      <c r="Q22" s="93">
        <f t="shared" si="4"/>
        <v>145.49425661827814</v>
      </c>
      <c r="R22" s="93">
        <f t="shared" si="5"/>
        <v>181.553</v>
      </c>
      <c r="S22" s="93">
        <f t="shared" si="0"/>
        <v>140.13333333333333</v>
      </c>
      <c r="T22" s="93">
        <f t="shared" si="1"/>
        <v>1454.9425661827813</v>
      </c>
      <c r="U22" s="1">
        <f t="shared" si="6"/>
        <v>10</v>
      </c>
      <c r="V22" s="93">
        <f t="shared" si="7"/>
        <v>145.49425661827814</v>
      </c>
      <c r="W22" s="93">
        <f t="shared" si="8"/>
        <v>181.553</v>
      </c>
      <c r="X22" s="93">
        <f t="shared" si="2"/>
        <v>140.13333333333333</v>
      </c>
      <c r="Y22" s="93">
        <f t="shared" si="9"/>
        <v>1454.9425661827813</v>
      </c>
    </row>
    <row r="23" spans="3:25" ht="13.5">
      <c r="C23" s="22"/>
      <c r="D23" s="147"/>
      <c r="E23" s="90"/>
      <c r="F23" s="100" t="s">
        <v>70</v>
      </c>
      <c r="G23" s="427">
        <v>180</v>
      </c>
      <c r="H23" s="299">
        <v>180</v>
      </c>
      <c r="I23"/>
      <c r="N23"/>
      <c r="O23"/>
      <c r="P23" s="1">
        <f t="shared" si="3"/>
        <v>11</v>
      </c>
      <c r="Q23" s="93">
        <f t="shared" si="4"/>
        <v>149.49959692570738</v>
      </c>
      <c r="R23" s="93">
        <f t="shared" si="5"/>
        <v>197.553</v>
      </c>
      <c r="S23" s="93">
        <f t="shared" si="0"/>
        <v>140.13333333333333</v>
      </c>
      <c r="T23" s="93">
        <f t="shared" si="1"/>
        <v>1644.4955661827812</v>
      </c>
      <c r="U23" s="1">
        <f t="shared" si="6"/>
        <v>11</v>
      </c>
      <c r="V23" s="93">
        <f t="shared" si="7"/>
        <v>149.49959692570738</v>
      </c>
      <c r="W23" s="93">
        <f t="shared" si="8"/>
        <v>197.553</v>
      </c>
      <c r="X23" s="93">
        <f t="shared" si="2"/>
        <v>140.13333333333333</v>
      </c>
      <c r="Y23" s="93">
        <f t="shared" si="9"/>
        <v>1644.4955661827812</v>
      </c>
    </row>
    <row r="24" spans="3:25" ht="13.5">
      <c r="C24" s="22"/>
      <c r="D24" s="147"/>
      <c r="E24" s="90"/>
      <c r="F24" s="100" t="s">
        <v>71</v>
      </c>
      <c r="G24" s="547">
        <v>1500</v>
      </c>
      <c r="H24" s="543">
        <v>1500</v>
      </c>
      <c r="I24"/>
      <c r="N24"/>
      <c r="O24"/>
      <c r="P24" s="1">
        <f t="shared" si="3"/>
        <v>12</v>
      </c>
      <c r="Q24" s="93">
        <f t="shared" si="4"/>
        <v>154.1707138485651</v>
      </c>
      <c r="R24" s="93">
        <f t="shared" si="5"/>
        <v>213.553</v>
      </c>
      <c r="S24" s="93">
        <f t="shared" si="0"/>
        <v>140.13333333333333</v>
      </c>
      <c r="T24" s="93">
        <f t="shared" si="1"/>
        <v>1850.048566182781</v>
      </c>
      <c r="U24" s="1">
        <f t="shared" si="6"/>
        <v>12</v>
      </c>
      <c r="V24" s="93">
        <f t="shared" si="7"/>
        <v>154.1707138485651</v>
      </c>
      <c r="W24" s="93">
        <f t="shared" si="8"/>
        <v>213.553</v>
      </c>
      <c r="X24" s="93">
        <f t="shared" si="2"/>
        <v>140.13333333333333</v>
      </c>
      <c r="Y24" s="93">
        <f t="shared" si="9"/>
        <v>1850.048566182781</v>
      </c>
    </row>
    <row r="25" spans="3:25" ht="13.5">
      <c r="C25" s="22"/>
      <c r="D25" s="147"/>
      <c r="E25" s="90"/>
      <c r="F25" s="100" t="s">
        <v>72</v>
      </c>
      <c r="G25" s="548">
        <v>2700</v>
      </c>
      <c r="H25" s="506">
        <v>3000</v>
      </c>
      <c r="I25"/>
      <c r="N25"/>
      <c r="O25"/>
      <c r="P25" s="1">
        <f t="shared" si="3"/>
        <v>13</v>
      </c>
      <c r="Q25" s="93">
        <f t="shared" si="4"/>
        <v>159.35396662944473</v>
      </c>
      <c r="R25" s="93">
        <f t="shared" si="5"/>
        <v>229.553</v>
      </c>
      <c r="S25" s="93">
        <f t="shared" si="0"/>
        <v>140.13333333333333</v>
      </c>
      <c r="T25" s="93">
        <f t="shared" si="1"/>
        <v>2071.6015661827814</v>
      </c>
      <c r="U25" s="1">
        <f t="shared" si="6"/>
        <v>13</v>
      </c>
      <c r="V25" s="93">
        <f t="shared" si="7"/>
        <v>159.35396662944473</v>
      </c>
      <c r="W25" s="93">
        <f t="shared" si="8"/>
        <v>229.553</v>
      </c>
      <c r="X25" s="93">
        <f t="shared" si="2"/>
        <v>140.13333333333333</v>
      </c>
      <c r="Y25" s="93">
        <f t="shared" si="9"/>
        <v>2071.6015661827814</v>
      </c>
    </row>
    <row r="26" spans="3:25" ht="15" thickBot="1">
      <c r="C26" s="22"/>
      <c r="D26" s="147"/>
      <c r="E26" s="147"/>
      <c r="F26" s="98" t="s">
        <v>73</v>
      </c>
      <c r="G26" s="549">
        <f>(G21*(1+G21)^G22)/(((1+G21)^G22)-1)</f>
        <v>0.16274539488251155</v>
      </c>
      <c r="H26" s="550">
        <f>(H21*(1+H21)^H22)/(((1+H21)^H22)-1)</f>
        <v>0.16274539488251155</v>
      </c>
      <c r="I26"/>
      <c r="N26"/>
      <c r="O26"/>
      <c r="P26" s="1">
        <f t="shared" si="3"/>
        <v>14</v>
      </c>
      <c r="Q26" s="93">
        <f t="shared" si="4"/>
        <v>164.93961187019866</v>
      </c>
      <c r="R26" s="93">
        <f t="shared" si="5"/>
        <v>245.553</v>
      </c>
      <c r="S26" s="93">
        <f t="shared" si="0"/>
        <v>140.13333333333333</v>
      </c>
      <c r="T26" s="93">
        <f t="shared" si="1"/>
        <v>2309.1545661827813</v>
      </c>
      <c r="U26" s="1">
        <f t="shared" si="6"/>
        <v>14</v>
      </c>
      <c r="V26" s="93">
        <f t="shared" si="7"/>
        <v>164.93961187019866</v>
      </c>
      <c r="W26" s="93">
        <f t="shared" si="8"/>
        <v>245.553</v>
      </c>
      <c r="X26" s="93">
        <f t="shared" si="2"/>
        <v>140.13333333333333</v>
      </c>
      <c r="Y26" s="93">
        <f t="shared" si="9"/>
        <v>2309.1545661827813</v>
      </c>
    </row>
    <row r="27" spans="3:25" ht="15" thickBot="1">
      <c r="C27" s="564" t="s">
        <v>74</v>
      </c>
      <c r="D27" s="566"/>
      <c r="E27" s="540"/>
      <c r="F27" s="243"/>
      <c r="G27" s="247"/>
      <c r="H27" s="551"/>
      <c r="I27"/>
      <c r="N27"/>
      <c r="O27"/>
      <c r="P27" s="1">
        <f t="shared" si="3"/>
        <v>15</v>
      </c>
      <c r="Q27" s="93">
        <f t="shared" si="4"/>
        <v>170.84717107885209</v>
      </c>
      <c r="R27" s="93">
        <f t="shared" si="5"/>
        <v>261.553</v>
      </c>
      <c r="S27" s="93">
        <f t="shared" si="0"/>
        <v>140.13333333333333</v>
      </c>
      <c r="T27" s="93">
        <f t="shared" si="1"/>
        <v>2562.707566182781</v>
      </c>
      <c r="U27" s="1">
        <f t="shared" si="6"/>
        <v>15</v>
      </c>
      <c r="V27" s="93">
        <f t="shared" si="7"/>
        <v>170.84717107885209</v>
      </c>
      <c r="W27" s="93">
        <f t="shared" si="8"/>
        <v>261.553</v>
      </c>
      <c r="X27" s="93">
        <f t="shared" si="2"/>
        <v>140.13333333333333</v>
      </c>
      <c r="Y27" s="93">
        <f t="shared" si="9"/>
        <v>2562.707566182781</v>
      </c>
    </row>
    <row r="28" spans="3:25" ht="15.75">
      <c r="C28" s="22"/>
      <c r="D28" s="552"/>
      <c r="E28" s="147"/>
      <c r="F28" s="341" t="s">
        <v>75</v>
      </c>
      <c r="G28" s="553">
        <v>1.553</v>
      </c>
      <c r="H28" s="554">
        <v>1.553</v>
      </c>
      <c r="I28"/>
      <c r="J28" s="93"/>
      <c r="N28"/>
      <c r="O28"/>
      <c r="P28" s="1">
        <f t="shared" si="3"/>
        <v>16</v>
      </c>
      <c r="Q28" s="93">
        <f t="shared" si="4"/>
        <v>177.01628538642382</v>
      </c>
      <c r="R28" s="93">
        <f t="shared" si="5"/>
        <v>277.553</v>
      </c>
      <c r="S28" s="93">
        <f t="shared" si="0"/>
        <v>140.13333333333333</v>
      </c>
      <c r="T28" s="93">
        <f t="shared" si="1"/>
        <v>2832.260566182781</v>
      </c>
      <c r="U28" s="1">
        <f t="shared" si="6"/>
        <v>16</v>
      </c>
      <c r="V28" s="93">
        <f t="shared" si="7"/>
        <v>177.01628538642382</v>
      </c>
      <c r="W28" s="93">
        <f t="shared" si="8"/>
        <v>277.553</v>
      </c>
      <c r="X28" s="93">
        <f t="shared" si="2"/>
        <v>140.13333333333333</v>
      </c>
      <c r="Y28" s="93">
        <f t="shared" si="9"/>
        <v>2832.260566182781</v>
      </c>
    </row>
    <row r="29" spans="3:25" ht="15.75">
      <c r="C29" s="22"/>
      <c r="D29" s="552"/>
      <c r="E29" s="147"/>
      <c r="F29" s="341" t="s">
        <v>76</v>
      </c>
      <c r="G29" s="553">
        <v>20</v>
      </c>
      <c r="H29" s="554">
        <v>20</v>
      </c>
      <c r="I29"/>
      <c r="O29"/>
      <c r="Q29" s="93"/>
      <c r="R29" s="93"/>
      <c r="S29" s="93"/>
      <c r="T29" s="93"/>
      <c r="W29" s="93"/>
      <c r="X29" s="93"/>
      <c r="Y29" s="93"/>
    </row>
    <row r="30" spans="3:26" ht="16.5" thickBot="1">
      <c r="C30" s="22"/>
      <c r="D30" s="552"/>
      <c r="E30" s="147"/>
      <c r="F30" s="341" t="s">
        <v>77</v>
      </c>
      <c r="G30" s="555">
        <v>0.2</v>
      </c>
      <c r="H30" s="556">
        <v>0.2</v>
      </c>
      <c r="I30"/>
      <c r="P30" s="27"/>
      <c r="Q30" s="109"/>
      <c r="R30" s="109"/>
      <c r="S30" s="109"/>
      <c r="T30" s="109"/>
      <c r="U30" s="109"/>
      <c r="V30" s="109"/>
      <c r="W30" s="27"/>
      <c r="X30" s="107"/>
      <c r="Y30" s="107"/>
      <c r="Z30" s="93"/>
    </row>
    <row r="31" spans="3:26" ht="15" thickBot="1">
      <c r="C31" s="564" t="s">
        <v>78</v>
      </c>
      <c r="D31" s="566"/>
      <c r="E31" s="540"/>
      <c r="F31" s="243"/>
      <c r="G31" s="247"/>
      <c r="H31" s="551"/>
      <c r="I31"/>
      <c r="P31" s="27"/>
      <c r="Q31" s="161"/>
      <c r="R31" s="106"/>
      <c r="S31" s="27"/>
      <c r="T31" s="27"/>
      <c r="U31" s="27"/>
      <c r="V31" s="27"/>
      <c r="W31" s="27"/>
      <c r="X31" s="107"/>
      <c r="Y31" s="107"/>
      <c r="Z31" s="93"/>
    </row>
    <row r="32" spans="3:26" ht="13.5">
      <c r="C32" s="22"/>
      <c r="D32" s="156"/>
      <c r="E32" s="147"/>
      <c r="F32" s="98" t="s">
        <v>79</v>
      </c>
      <c r="G32" s="557">
        <v>2</v>
      </c>
      <c r="H32" s="558">
        <v>2</v>
      </c>
      <c r="I32"/>
      <c r="P32" s="27"/>
      <c r="Q32" s="161"/>
      <c r="R32" s="106"/>
      <c r="S32" s="27"/>
      <c r="T32" s="27"/>
      <c r="U32" s="27"/>
      <c r="V32" s="27"/>
      <c r="W32" s="27"/>
      <c r="X32" s="107"/>
      <c r="Y32" s="107"/>
      <c r="Z32" s="93"/>
    </row>
    <row r="33" spans="3:26" ht="13.5">
      <c r="C33" s="22"/>
      <c r="D33" s="259" t="s">
        <v>80</v>
      </c>
      <c r="E33" s="147"/>
      <c r="F33" s="98" t="s">
        <v>81</v>
      </c>
      <c r="G33" s="427">
        <v>10</v>
      </c>
      <c r="H33" s="299">
        <v>10</v>
      </c>
      <c r="I33"/>
      <c r="P33" s="27"/>
      <c r="Q33" s="27"/>
      <c r="R33" s="47"/>
      <c r="S33" s="27"/>
      <c r="T33" s="27"/>
      <c r="U33" s="27"/>
      <c r="V33" s="27"/>
      <c r="W33" s="27"/>
      <c r="X33" s="107"/>
      <c r="Y33" s="107"/>
      <c r="Z33" s="93"/>
    </row>
    <row r="34" spans="3:26" ht="18">
      <c r="C34" s="22"/>
      <c r="D34" s="156" t="s">
        <v>82</v>
      </c>
      <c r="E34" s="147"/>
      <c r="F34" s="97" t="s">
        <v>83</v>
      </c>
      <c r="G34" s="559">
        <v>0.5</v>
      </c>
      <c r="H34" s="560">
        <v>0.5</v>
      </c>
      <c r="I34"/>
      <c r="P34" s="27"/>
      <c r="Q34" s="162"/>
      <c r="R34" s="111"/>
      <c r="S34" s="27"/>
      <c r="T34" s="27"/>
      <c r="U34" s="27"/>
      <c r="V34" s="27"/>
      <c r="W34" s="27"/>
      <c r="X34" s="107"/>
      <c r="Y34" s="107"/>
      <c r="Z34" s="93"/>
    </row>
    <row r="35" spans="3:26" ht="18">
      <c r="C35" s="22"/>
      <c r="D35" s="156" t="s">
        <v>84</v>
      </c>
      <c r="E35" s="147"/>
      <c r="F35" s="97" t="s">
        <v>85</v>
      </c>
      <c r="G35" s="559">
        <v>0.5</v>
      </c>
      <c r="H35" s="560">
        <v>0.5</v>
      </c>
      <c r="I35"/>
      <c r="P35" s="27"/>
      <c r="Q35" s="163"/>
      <c r="R35" s="107"/>
      <c r="S35" s="27"/>
      <c r="T35" s="27"/>
      <c r="U35" s="27"/>
      <c r="V35" s="27"/>
      <c r="W35" s="27"/>
      <c r="X35" s="107"/>
      <c r="Y35" s="107"/>
      <c r="Z35" s="93"/>
    </row>
    <row r="36" spans="3:25" ht="13.5">
      <c r="C36" s="22"/>
      <c r="D36" s="147"/>
      <c r="E36" s="147"/>
      <c r="F36" s="98" t="s">
        <v>86</v>
      </c>
      <c r="G36" s="466">
        <v>40</v>
      </c>
      <c r="H36" s="466">
        <v>40</v>
      </c>
      <c r="I36"/>
      <c r="P36" s="27"/>
      <c r="Q36" s="162"/>
      <c r="R36" s="107"/>
      <c r="S36" s="27"/>
      <c r="T36" s="27"/>
      <c r="U36" s="27"/>
      <c r="V36" s="27"/>
      <c r="W36" s="27"/>
      <c r="X36" s="27"/>
      <c r="Y36" s="27"/>
    </row>
    <row r="37" spans="3:25" ht="15" thickBot="1">
      <c r="C37" s="28"/>
      <c r="D37" s="364"/>
      <c r="E37" s="364"/>
      <c r="F37" s="99" t="s">
        <v>87</v>
      </c>
      <c r="G37" s="561">
        <v>40</v>
      </c>
      <c r="H37" s="562">
        <v>40</v>
      </c>
      <c r="I37"/>
      <c r="P37" s="27"/>
      <c r="Q37" s="162"/>
      <c r="R37" s="106"/>
      <c r="S37" s="27"/>
      <c r="T37" s="27"/>
      <c r="U37" s="27"/>
      <c r="V37" s="27"/>
      <c r="W37" s="27"/>
      <c r="X37" s="27"/>
      <c r="Y37" s="27"/>
    </row>
    <row r="38" spans="4:25" ht="13.5">
      <c r="D38" s="90"/>
      <c r="E38" s="147"/>
      <c r="F38" s="147"/>
      <c r="G38" s="147"/>
      <c r="H38" s="98"/>
      <c r="I38" s="96"/>
      <c r="J38" s="96"/>
      <c r="P38" s="27"/>
      <c r="Q38" s="162"/>
      <c r="R38" s="106"/>
      <c r="S38" s="27"/>
      <c r="T38" s="27"/>
      <c r="U38" s="27"/>
      <c r="V38" s="27"/>
      <c r="W38" s="27"/>
      <c r="X38" s="27"/>
      <c r="Y38" s="27"/>
    </row>
    <row r="39" spans="2:25" ht="13.5">
      <c r="B39" s="91" t="s">
        <v>88</v>
      </c>
      <c r="C39"/>
      <c r="E39" s="12"/>
      <c r="P39" s="27"/>
      <c r="Q39" s="162"/>
      <c r="R39" s="47"/>
      <c r="S39" s="27"/>
      <c r="T39" s="27"/>
      <c r="U39" s="27"/>
      <c r="V39" s="27"/>
      <c r="W39" s="27"/>
      <c r="X39" s="27"/>
      <c r="Y39" s="27"/>
    </row>
    <row r="40" spans="2:25" ht="13.5">
      <c r="B40" s="91" t="s">
        <v>89</v>
      </c>
      <c r="C40"/>
      <c r="P40"/>
      <c r="Q40" s="162"/>
      <c r="R40" s="108"/>
      <c r="S40" s="27"/>
      <c r="T40" s="27"/>
      <c r="U40" s="109"/>
      <c r="V40" s="109"/>
      <c r="W40" s="109"/>
      <c r="X40" s="109"/>
      <c r="Y40" s="27"/>
    </row>
    <row r="41" spans="2:25" ht="13.5">
      <c r="B41" s="91" t="s">
        <v>90</v>
      </c>
      <c r="C41"/>
      <c r="P41"/>
      <c r="Q41" s="109"/>
      <c r="R41" s="111"/>
      <c r="S41" s="109"/>
      <c r="T41" s="109"/>
      <c r="U41" s="109"/>
      <c r="V41" s="109"/>
      <c r="W41" s="109"/>
      <c r="X41" s="109"/>
      <c r="Y41" s="27"/>
    </row>
    <row r="42" spans="2:25" ht="13.5">
      <c r="B42" s="91" t="s">
        <v>91</v>
      </c>
      <c r="C42"/>
      <c r="P42"/>
      <c r="Q42" s="109"/>
      <c r="R42" s="111"/>
      <c r="S42" s="109"/>
      <c r="T42" s="109"/>
      <c r="U42" s="109"/>
      <c r="V42" s="109"/>
      <c r="W42" s="109"/>
      <c r="X42" s="109"/>
      <c r="Y42" s="27"/>
    </row>
    <row r="43" spans="2:25" ht="13.5">
      <c r="B43" s="91" t="s">
        <v>92</v>
      </c>
      <c r="C43"/>
      <c r="P43"/>
      <c r="Q43" s="163"/>
      <c r="R43" s="107"/>
      <c r="S43" s="109"/>
      <c r="T43" s="109"/>
      <c r="U43" s="109"/>
      <c r="V43" s="109"/>
      <c r="W43" s="109"/>
      <c r="X43" s="109"/>
      <c r="Y43" s="27"/>
    </row>
    <row r="44" spans="16:25" ht="12.75">
      <c r="P44"/>
      <c r="Q44" s="163"/>
      <c r="R44" s="107"/>
      <c r="S44" s="109"/>
      <c r="T44" s="109"/>
      <c r="U44" s="109"/>
      <c r="V44" s="109"/>
      <c r="W44" s="109"/>
      <c r="X44" s="109"/>
      <c r="Y44" s="27"/>
    </row>
    <row r="45" spans="16:25" ht="12.75">
      <c r="P45"/>
      <c r="Q45" s="163"/>
      <c r="R45" s="107"/>
      <c r="S45" s="109"/>
      <c r="T45" s="109"/>
      <c r="U45" s="109"/>
      <c r="V45" s="109"/>
      <c r="W45" s="109"/>
      <c r="X45" s="109"/>
      <c r="Y45" s="27"/>
    </row>
    <row r="46" spans="16:25" ht="12.75">
      <c r="P46"/>
      <c r="Q46" s="163"/>
      <c r="R46" s="107"/>
      <c r="S46" s="109"/>
      <c r="T46" s="109"/>
      <c r="U46" s="109"/>
      <c r="V46" s="109"/>
      <c r="W46" s="109"/>
      <c r="X46" s="109"/>
      <c r="Y46" s="27"/>
    </row>
    <row r="47" spans="16:25" ht="12.75">
      <c r="P47"/>
      <c r="Q47" s="163"/>
      <c r="R47" s="107"/>
      <c r="S47" s="109"/>
      <c r="T47" s="109"/>
      <c r="U47" s="109"/>
      <c r="V47" s="109"/>
      <c r="W47" s="109"/>
      <c r="X47" s="109"/>
      <c r="Y47" s="27"/>
    </row>
    <row r="48" spans="16:25" ht="12.75">
      <c r="P48"/>
      <c r="Q48" s="163"/>
      <c r="R48" s="107"/>
      <c r="S48" s="109"/>
      <c r="T48" s="109"/>
      <c r="U48" s="109"/>
      <c r="V48" s="109"/>
      <c r="W48" s="109"/>
      <c r="X48" s="109"/>
      <c r="Y48" s="27"/>
    </row>
    <row r="49" spans="16:25" ht="12.75">
      <c r="P49"/>
      <c r="Q49" s="163"/>
      <c r="R49" s="107"/>
      <c r="S49" s="109"/>
      <c r="T49" s="109"/>
      <c r="U49" s="109"/>
      <c r="V49" s="109"/>
      <c r="W49" s="109"/>
      <c r="X49" s="109"/>
      <c r="Y49" s="27"/>
    </row>
    <row r="50" spans="15:25" ht="12.75">
      <c r="O50"/>
      <c r="P50"/>
      <c r="Q50" s="163"/>
      <c r="R50" s="107"/>
      <c r="S50" s="164"/>
      <c r="T50" s="109"/>
      <c r="U50" s="109"/>
      <c r="V50" s="109"/>
      <c r="W50" s="109"/>
      <c r="X50" s="109"/>
      <c r="Y50" s="27"/>
    </row>
    <row r="51" spans="15:25" ht="12.75">
      <c r="O51"/>
      <c r="P51"/>
      <c r="Q51" s="163"/>
      <c r="R51" s="106"/>
      <c r="S51" s="165"/>
      <c r="T51" s="109"/>
      <c r="U51" s="109"/>
      <c r="V51" s="109"/>
      <c r="W51" s="109"/>
      <c r="X51" s="109"/>
      <c r="Y51" s="27"/>
    </row>
    <row r="52" spans="15:25" ht="12.75">
      <c r="O52"/>
      <c r="P52"/>
      <c r="Q52" s="163"/>
      <c r="R52" s="106"/>
      <c r="S52" s="109"/>
      <c r="T52" s="109"/>
      <c r="U52" s="109"/>
      <c r="V52" s="109"/>
      <c r="W52" s="109"/>
      <c r="X52" s="109"/>
      <c r="Y52" s="27"/>
    </row>
    <row r="53" spans="16:25" ht="12.75">
      <c r="P53"/>
      <c r="Q53" s="163"/>
      <c r="R53" s="47"/>
      <c r="S53" s="109"/>
      <c r="T53" s="109"/>
      <c r="U53" s="109"/>
      <c r="V53" s="109"/>
      <c r="W53" s="109"/>
      <c r="X53" s="27"/>
      <c r="Y53" s="27"/>
    </row>
    <row r="54" spans="16:23" ht="12.75">
      <c r="P54"/>
      <c r="Q54"/>
      <c r="R54"/>
      <c r="S54"/>
      <c r="T54"/>
      <c r="U54"/>
      <c r="V54"/>
      <c r="W54"/>
    </row>
    <row r="55" spans="16:23" ht="12.75">
      <c r="P55"/>
      <c r="Q55"/>
      <c r="R55"/>
      <c r="S55"/>
      <c r="T55"/>
      <c r="U55"/>
      <c r="V55"/>
      <c r="W55"/>
    </row>
    <row r="56" spans="16:23" ht="12.75">
      <c r="P56" s="27"/>
      <c r="Q56" s="109"/>
      <c r="R56" s="133"/>
      <c r="S56" s="27"/>
      <c r="T56" s="27"/>
      <c r="U56" s="27"/>
      <c r="V56" s="27"/>
      <c r="W56" s="27"/>
    </row>
    <row r="57" spans="16:23" ht="12.75">
      <c r="P57" s="27"/>
      <c r="Q57" s="109"/>
      <c r="R57" s="107"/>
      <c r="S57" s="135"/>
      <c r="T57" s="27"/>
      <c r="U57" s="27"/>
      <c r="V57" s="27"/>
      <c r="W57" s="27"/>
    </row>
    <row r="58" spans="16:24" ht="12.75">
      <c r="P58"/>
      <c r="Q58"/>
      <c r="R58"/>
      <c r="S58"/>
      <c r="T58"/>
      <c r="U58"/>
      <c r="V58"/>
      <c r="W58"/>
      <c r="X58"/>
    </row>
    <row r="59" spans="16:24" ht="12.75">
      <c r="P59"/>
      <c r="Q59"/>
      <c r="R59"/>
      <c r="S59"/>
      <c r="T59"/>
      <c r="U59"/>
      <c r="V59"/>
      <c r="W59"/>
      <c r="X59"/>
    </row>
    <row r="60" spans="16:21" ht="12.75">
      <c r="P60"/>
      <c r="Q60"/>
      <c r="R60"/>
      <c r="S60"/>
      <c r="T60"/>
      <c r="U60"/>
    </row>
    <row r="61" spans="16:21" ht="12.75">
      <c r="P61"/>
      <c r="Q61"/>
      <c r="R61"/>
      <c r="S61"/>
      <c r="T61"/>
      <c r="U61"/>
    </row>
    <row r="62" spans="16:21" ht="12.75">
      <c r="P62"/>
      <c r="Q62"/>
      <c r="R62"/>
      <c r="S62"/>
      <c r="T62"/>
      <c r="U62"/>
    </row>
    <row r="63" spans="5:21" ht="13.5">
      <c r="E63" s="100" t="s">
        <v>93</v>
      </c>
      <c r="F63" s="90" t="s">
        <v>94</v>
      </c>
      <c r="P63"/>
      <c r="Q63"/>
      <c r="R63"/>
      <c r="S63"/>
      <c r="T63"/>
      <c r="U63"/>
    </row>
    <row r="64" spans="5:21" ht="15.75">
      <c r="E64" s="90"/>
      <c r="F64" s="245" t="s">
        <v>95</v>
      </c>
      <c r="P64"/>
      <c r="Q64"/>
      <c r="R64"/>
      <c r="S64"/>
      <c r="T64"/>
      <c r="U64"/>
    </row>
    <row r="65" spans="5:21" ht="13.5">
      <c r="E65" s="90"/>
      <c r="F65" s="90" t="s">
        <v>96</v>
      </c>
      <c r="P65"/>
      <c r="Q65"/>
      <c r="R65"/>
      <c r="S65"/>
      <c r="T65"/>
      <c r="U65"/>
    </row>
    <row r="66" spans="5:21" ht="13.5">
      <c r="E66" s="90"/>
      <c r="F66" s="90" t="s">
        <v>97</v>
      </c>
      <c r="P66"/>
      <c r="Q66"/>
      <c r="R66"/>
      <c r="S66"/>
      <c r="T66"/>
      <c r="U66"/>
    </row>
    <row r="67" spans="5:21" ht="13.5">
      <c r="E67" s="90"/>
      <c r="F67" s="90" t="s">
        <v>98</v>
      </c>
      <c r="P67"/>
      <c r="Q67"/>
      <c r="R67"/>
      <c r="S67"/>
      <c r="T67"/>
      <c r="U67"/>
    </row>
    <row r="68" spans="5:20" ht="13.5">
      <c r="E68" s="90"/>
      <c r="F68" s="90" t="s">
        <v>99</v>
      </c>
      <c r="Q68" s="93"/>
      <c r="R68" s="93"/>
      <c r="S68" s="93"/>
      <c r="T68" s="93"/>
    </row>
    <row r="69" spans="17:20" ht="12.75">
      <c r="Q69" s="93"/>
      <c r="R69" s="93"/>
      <c r="S69" s="93"/>
      <c r="T69" s="93"/>
    </row>
    <row r="70" spans="7:21" ht="12.75">
      <c r="G70"/>
      <c r="R70" s="93"/>
      <c r="S70" s="93"/>
      <c r="T70" s="93"/>
      <c r="U70" s="93"/>
    </row>
    <row r="71" spans="7:20" ht="15.75">
      <c r="G71" s="113" t="s">
        <v>100</v>
      </c>
      <c r="Q71" s="93"/>
      <c r="R71" s="93"/>
      <c r="S71" s="93"/>
      <c r="T71" s="93"/>
    </row>
    <row r="72" spans="17:20" ht="12.75">
      <c r="Q72" s="93"/>
      <c r="R72" s="93"/>
      <c r="S72" s="93"/>
      <c r="T72" s="93"/>
    </row>
    <row r="73" spans="17:20" ht="12.75">
      <c r="Q73" s="93"/>
      <c r="R73" s="93"/>
      <c r="S73" s="93"/>
      <c r="T73" s="93"/>
    </row>
    <row r="74" spans="17:20" ht="12.75">
      <c r="Q74" s="93"/>
      <c r="R74" s="93"/>
      <c r="S74" s="93"/>
      <c r="T74" s="93"/>
    </row>
    <row r="75" spans="17:20" ht="12">
      <c r="Q75" s="93"/>
      <c r="R75" s="93"/>
      <c r="S75" s="93"/>
      <c r="T75" s="93"/>
    </row>
    <row r="76" spans="17:20" ht="12">
      <c r="Q76" s="93"/>
      <c r="R76" s="93"/>
      <c r="S76" s="93"/>
      <c r="T76" s="93"/>
    </row>
    <row r="77" spans="2:21" ht="13.5">
      <c r="B77" s="92" t="s">
        <v>101</v>
      </c>
      <c r="C77" s="91"/>
      <c r="P77"/>
      <c r="Q77"/>
      <c r="R77"/>
      <c r="S77"/>
      <c r="T77"/>
      <c r="U77"/>
    </row>
    <row r="78" spans="3:21" s="90" customFormat="1" ht="13.5">
      <c r="C78" s="91" t="s">
        <v>0</v>
      </c>
      <c r="P78"/>
      <c r="Q78"/>
      <c r="R78"/>
      <c r="S78"/>
      <c r="T78"/>
      <c r="U78"/>
    </row>
    <row r="79" spans="3:21" s="90" customFormat="1" ht="13.5">
      <c r="C79" s="91" t="s">
        <v>1</v>
      </c>
      <c r="P79"/>
      <c r="Q79"/>
      <c r="R79"/>
      <c r="S79"/>
      <c r="T79"/>
      <c r="U79"/>
    </row>
    <row r="80" spans="3:21" s="90" customFormat="1" ht="13.5">
      <c r="C80" s="91" t="s">
        <v>2</v>
      </c>
      <c r="P80"/>
      <c r="Q80"/>
      <c r="R80"/>
      <c r="S80"/>
      <c r="T80"/>
      <c r="U80"/>
    </row>
    <row r="81" spans="2:20" ht="13.5" thickBot="1">
      <c r="B81" s="30"/>
      <c r="C81" s="1"/>
      <c r="E81" s="5"/>
      <c r="G81" s="15" t="s">
        <v>3</v>
      </c>
      <c r="H81" s="123" t="s">
        <v>4</v>
      </c>
      <c r="I81" s="4"/>
      <c r="J81"/>
      <c r="O81"/>
      <c r="P81"/>
      <c r="Q81"/>
      <c r="R81"/>
      <c r="S81"/>
      <c r="T81"/>
    </row>
    <row r="82" spans="2:20" ht="15" thickBot="1">
      <c r="B82" s="94">
        <v>1</v>
      </c>
      <c r="C82" s="90"/>
      <c r="D82" s="90"/>
      <c r="E82" s="100" t="s">
        <v>5</v>
      </c>
      <c r="F82" s="103" t="s">
        <v>6</v>
      </c>
      <c r="G82" s="240">
        <f>G12</f>
        <v>1230</v>
      </c>
      <c r="H82" s="241">
        <f>G13</f>
        <v>-4</v>
      </c>
      <c r="I82" s="242" t="s">
        <v>7</v>
      </c>
      <c r="J82"/>
      <c r="O82"/>
      <c r="P82"/>
      <c r="Q82"/>
      <c r="R82"/>
      <c r="S82"/>
      <c r="T82"/>
    </row>
    <row r="83" spans="2:20" ht="15" thickBot="1">
      <c r="B83" s="94"/>
      <c r="C83" s="90"/>
      <c r="D83" s="90"/>
      <c r="E83" s="98"/>
      <c r="F83" s="243"/>
      <c r="G83" s="240"/>
      <c r="H83" s="241"/>
      <c r="I83" s="244"/>
      <c r="J83"/>
      <c r="K83" s="27"/>
      <c r="O83"/>
      <c r="P83"/>
      <c r="Q83"/>
      <c r="R83"/>
      <c r="S83"/>
      <c r="T83"/>
    </row>
    <row r="84" spans="2:21" ht="15" thickBot="1">
      <c r="B84" s="94">
        <v>2</v>
      </c>
      <c r="C84" s="90"/>
      <c r="D84" s="90"/>
      <c r="E84" s="100" t="s">
        <v>8</v>
      </c>
      <c r="F84" s="103" t="s">
        <v>9</v>
      </c>
      <c r="G84" s="241">
        <f>$G$14</f>
        <v>3.9</v>
      </c>
      <c r="H84" s="241">
        <f>$G$15</f>
        <v>0.5</v>
      </c>
      <c r="I84" s="242" t="s">
        <v>10</v>
      </c>
      <c r="J84"/>
      <c r="P84"/>
      <c r="Q84"/>
      <c r="R84"/>
      <c r="S84"/>
      <c r="T84"/>
      <c r="U84"/>
    </row>
    <row r="85" spans="2:21" ht="13.5">
      <c r="B85" s="91"/>
      <c r="C85" s="90"/>
      <c r="D85" s="90"/>
      <c r="E85" s="90"/>
      <c r="F85" s="90"/>
      <c r="G85" s="90"/>
      <c r="H85" s="90"/>
      <c r="I85" s="90"/>
      <c r="J85"/>
      <c r="P85"/>
      <c r="Q85"/>
      <c r="R85"/>
      <c r="S85"/>
      <c r="T85"/>
      <c r="U85"/>
    </row>
    <row r="86" spans="2:21" ht="15.75">
      <c r="B86" s="94">
        <v>3</v>
      </c>
      <c r="C86" s="90"/>
      <c r="D86" s="90"/>
      <c r="E86" s="100" t="s">
        <v>11</v>
      </c>
      <c r="F86" s="245"/>
      <c r="G86" s="245"/>
      <c r="H86" s="245"/>
      <c r="I86" s="245"/>
      <c r="J86"/>
      <c r="K86"/>
      <c r="P86"/>
      <c r="Q86"/>
      <c r="R86"/>
      <c r="S86"/>
      <c r="T86"/>
      <c r="U86"/>
    </row>
    <row r="87" spans="2:21" ht="15" thickBot="1">
      <c r="B87" s="91"/>
      <c r="C87" s="90"/>
      <c r="D87" s="90"/>
      <c r="E87" s="90"/>
      <c r="F87" s="90"/>
      <c r="G87" s="90"/>
      <c r="H87" s="90"/>
      <c r="I87" s="90"/>
      <c r="J87"/>
      <c r="P87"/>
      <c r="Q87"/>
      <c r="R87"/>
      <c r="S87"/>
      <c r="T87"/>
      <c r="U87"/>
    </row>
    <row r="88" spans="2:21" ht="15" thickBot="1">
      <c r="B88" s="91"/>
      <c r="C88" s="3" t="s">
        <v>12</v>
      </c>
      <c r="D88" s="246">
        <f>G82</f>
        <v>1230</v>
      </c>
      <c r="E88" s="247">
        <f>H82</f>
        <v>-4</v>
      </c>
      <c r="F88" s="244" t="s">
        <v>13</v>
      </c>
      <c r="G88" s="241">
        <f>G84</f>
        <v>3.9</v>
      </c>
      <c r="H88" s="244">
        <f>H84</f>
        <v>0.5</v>
      </c>
      <c r="I88" s="242" t="s">
        <v>10</v>
      </c>
      <c r="J88"/>
      <c r="K88"/>
      <c r="L88"/>
      <c r="P88"/>
      <c r="Q88"/>
      <c r="R88"/>
      <c r="S88"/>
      <c r="T88"/>
      <c r="U88"/>
    </row>
    <row r="89" spans="3:21" ht="15" thickBot="1">
      <c r="C89" s="91"/>
      <c r="D89" s="90"/>
      <c r="E89" s="90"/>
      <c r="F89" s="90"/>
      <c r="G89" s="90"/>
      <c r="H89" s="90"/>
      <c r="I89" s="90"/>
      <c r="J89" s="90"/>
      <c r="P89"/>
      <c r="Q89"/>
      <c r="R89"/>
      <c r="S89"/>
      <c r="T89"/>
      <c r="U89"/>
    </row>
    <row r="90" spans="3:21" ht="13.5">
      <c r="C90" s="91"/>
      <c r="D90" s="90"/>
      <c r="E90" s="90"/>
      <c r="F90" s="143" t="s">
        <v>14</v>
      </c>
      <c r="G90" s="248">
        <f>(D88-G88)/(H88-E88)</f>
        <v>272.46666666666664</v>
      </c>
      <c r="H90" s="90"/>
      <c r="I90" s="90"/>
      <c r="J90" s="90"/>
      <c r="P90"/>
      <c r="Q90"/>
      <c r="R90"/>
      <c r="S90"/>
      <c r="T90"/>
      <c r="U90"/>
    </row>
    <row r="91" spans="3:21" ht="15" thickBot="1">
      <c r="C91" s="91"/>
      <c r="D91" s="90"/>
      <c r="E91" s="90"/>
      <c r="F91" s="102" t="s">
        <v>15</v>
      </c>
      <c r="G91" s="249">
        <f>G84+H84*G90</f>
        <v>140.13333333333333</v>
      </c>
      <c r="H91" s="90"/>
      <c r="I91" s="90"/>
      <c r="J91" s="90"/>
      <c r="P91"/>
      <c r="Q91"/>
      <c r="R91"/>
      <c r="S91"/>
      <c r="T91"/>
      <c r="U91"/>
    </row>
    <row r="92" spans="15:20" ht="12.75">
      <c r="O92"/>
      <c r="P92"/>
      <c r="Q92"/>
      <c r="R92"/>
      <c r="S92"/>
      <c r="T92"/>
    </row>
    <row r="93" spans="2:19" ht="13.5">
      <c r="B93" s="91" t="s">
        <v>16</v>
      </c>
      <c r="C93" s="1"/>
      <c r="N93"/>
      <c r="O93"/>
      <c r="P93"/>
      <c r="Q93"/>
      <c r="R93"/>
      <c r="S93"/>
    </row>
    <row r="94" spans="2:19" ht="13.5">
      <c r="B94" s="91" t="s">
        <v>17</v>
      </c>
      <c r="C94" s="1"/>
      <c r="N94"/>
      <c r="O94"/>
      <c r="P94"/>
      <c r="Q94"/>
      <c r="R94"/>
      <c r="S94"/>
    </row>
    <row r="95" spans="2:19" ht="13.5">
      <c r="B95" s="91" t="s">
        <v>18</v>
      </c>
      <c r="C95" s="1"/>
      <c r="N95"/>
      <c r="O95"/>
      <c r="P95"/>
      <c r="Q95"/>
      <c r="R95"/>
      <c r="S95"/>
    </row>
    <row r="96" spans="2:19" ht="13.5">
      <c r="B96" s="91"/>
      <c r="C96" s="1"/>
      <c r="N96"/>
      <c r="O96"/>
      <c r="P96"/>
      <c r="Q96"/>
      <c r="R96"/>
      <c r="S96"/>
    </row>
    <row r="97" spans="2:19" ht="13.5">
      <c r="B97" s="94">
        <v>4</v>
      </c>
      <c r="C97" s="114" t="s">
        <v>19</v>
      </c>
      <c r="D97"/>
      <c r="E97"/>
      <c r="F97"/>
      <c r="G97"/>
      <c r="H97"/>
      <c r="I97"/>
      <c r="J97"/>
      <c r="K97"/>
      <c r="N97"/>
      <c r="O97"/>
      <c r="P97"/>
      <c r="Q97"/>
      <c r="R97"/>
      <c r="S97"/>
    </row>
    <row r="98" spans="3:18" ht="15" thickBot="1">
      <c r="C98" s="90"/>
      <c r="D98" s="100" t="s">
        <v>20</v>
      </c>
      <c r="E98" s="100" t="s">
        <v>21</v>
      </c>
      <c r="F98" s="100"/>
      <c r="G98" s="100" t="s">
        <v>22</v>
      </c>
      <c r="H98" s="90"/>
      <c r="I98"/>
      <c r="J98"/>
      <c r="K98"/>
      <c r="L98"/>
      <c r="N98"/>
      <c r="O98"/>
      <c r="P98"/>
      <c r="Q98"/>
      <c r="R98"/>
    </row>
    <row r="99" spans="2:20" ht="13.5">
      <c r="B99" s="30"/>
      <c r="C99" s="254"/>
      <c r="D99" s="402"/>
      <c r="E99" s="402"/>
      <c r="F99" s="402"/>
      <c r="G99" s="402"/>
      <c r="H99" s="269">
        <f>G32</f>
        <v>2</v>
      </c>
      <c r="I99"/>
      <c r="J99"/>
      <c r="K99"/>
      <c r="L99"/>
      <c r="O99"/>
      <c r="P99"/>
      <c r="Q99"/>
      <c r="R99"/>
      <c r="S99"/>
      <c r="T99"/>
    </row>
    <row r="100" spans="2:20" ht="15" thickBot="1">
      <c r="B100"/>
      <c r="C100" s="102" t="s">
        <v>23</v>
      </c>
      <c r="D100" s="206">
        <f>G17</f>
        <v>439.4125661827812</v>
      </c>
      <c r="E100" s="206">
        <f>G18</f>
        <v>21.553</v>
      </c>
      <c r="F100" s="128" t="s">
        <v>24</v>
      </c>
      <c r="G100" s="206">
        <f>G19</f>
        <v>8</v>
      </c>
      <c r="H100" s="272" t="s">
        <v>25</v>
      </c>
      <c r="I100"/>
      <c r="J100"/>
      <c r="K100"/>
      <c r="L100"/>
      <c r="O100"/>
      <c r="P100"/>
      <c r="Q100"/>
      <c r="R100"/>
      <c r="S100"/>
      <c r="T100"/>
    </row>
    <row r="101" spans="2:20" ht="12.75">
      <c r="B101"/>
      <c r="C101" s="32"/>
      <c r="D101" s="110"/>
      <c r="E101" s="110"/>
      <c r="F101" s="23"/>
      <c r="G101" s="110"/>
      <c r="H101" s="23"/>
      <c r="I101"/>
      <c r="J101"/>
      <c r="K101"/>
      <c r="L101"/>
      <c r="O101"/>
      <c r="P101"/>
      <c r="Q101"/>
      <c r="R101"/>
      <c r="S101"/>
      <c r="T101"/>
    </row>
    <row r="102" spans="3:20" ht="13.5">
      <c r="C102" s="31"/>
      <c r="D102" s="90"/>
      <c r="E102" s="90"/>
      <c r="F102" s="5"/>
      <c r="G102" s="32"/>
      <c r="H102" s="110"/>
      <c r="I102" s="110"/>
      <c r="J102" s="23"/>
      <c r="K102" s="110"/>
      <c r="L102" s="23"/>
      <c r="O102"/>
      <c r="P102"/>
      <c r="Q102"/>
      <c r="R102"/>
      <c r="S102"/>
      <c r="T102"/>
    </row>
    <row r="103" spans="2:20" ht="13.5">
      <c r="B103" s="90" t="s">
        <v>114</v>
      </c>
      <c r="C103" s="31"/>
      <c r="D103" s="90"/>
      <c r="E103" s="90"/>
      <c r="F103" s="5"/>
      <c r="G103" s="32"/>
      <c r="H103" s="110"/>
      <c r="I103" s="110"/>
      <c r="J103" s="23"/>
      <c r="K103" s="110"/>
      <c r="L103" s="23"/>
      <c r="O103"/>
      <c r="P103"/>
      <c r="Q103"/>
      <c r="R103"/>
      <c r="S103"/>
      <c r="T103"/>
    </row>
    <row r="104" spans="2:20" ht="13.5">
      <c r="B104" s="90" t="s">
        <v>115</v>
      </c>
      <c r="O104"/>
      <c r="P104"/>
      <c r="Q104"/>
      <c r="R104"/>
      <c r="S104"/>
      <c r="T104"/>
    </row>
    <row r="105" spans="2:20" ht="13.5">
      <c r="B105" s="90"/>
      <c r="O105"/>
      <c r="P105"/>
      <c r="Q105"/>
      <c r="R105"/>
      <c r="S105"/>
      <c r="T105"/>
    </row>
    <row r="106" spans="2:20" ht="15" thickBot="1">
      <c r="B106" s="94">
        <v>5</v>
      </c>
      <c r="C106" s="114" t="s">
        <v>116</v>
      </c>
      <c r="D106" s="90"/>
      <c r="E106"/>
      <c r="F106"/>
      <c r="G106"/>
      <c r="H106"/>
      <c r="I106"/>
      <c r="J106"/>
      <c r="K106"/>
      <c r="O106"/>
      <c r="P106"/>
      <c r="Q106"/>
      <c r="R106"/>
      <c r="S106"/>
      <c r="T106"/>
    </row>
    <row r="107" spans="2:20" ht="13.5">
      <c r="B107" s="94"/>
      <c r="C107" s="254"/>
      <c r="D107" s="187"/>
      <c r="E107" s="187"/>
      <c r="F107" s="187"/>
      <c r="G107" s="269">
        <f>H99-1</f>
        <v>1</v>
      </c>
      <c r="H107"/>
      <c r="I107" s="23"/>
      <c r="J107" s="111"/>
      <c r="K107" s="23"/>
      <c r="O107"/>
      <c r="P107"/>
      <c r="Q107"/>
      <c r="R107"/>
      <c r="S107"/>
      <c r="T107"/>
    </row>
    <row r="108" spans="2:21" ht="15" thickBot="1">
      <c r="B108" s="94"/>
      <c r="C108" s="102" t="s">
        <v>117</v>
      </c>
      <c r="D108" s="206">
        <f>G18</f>
        <v>21.553</v>
      </c>
      <c r="E108" s="128" t="s">
        <v>118</v>
      </c>
      <c r="F108" s="463">
        <f>H99*G100</f>
        <v>16</v>
      </c>
      <c r="G108" s="272" t="s">
        <v>25</v>
      </c>
      <c r="H108"/>
      <c r="I108" s="23"/>
      <c r="J108" s="111"/>
      <c r="K108" s="23"/>
      <c r="O108"/>
      <c r="P108"/>
      <c r="Q108"/>
      <c r="R108"/>
      <c r="S108"/>
      <c r="T108"/>
      <c r="U108"/>
    </row>
    <row r="109" spans="3:22" ht="13.5">
      <c r="C109" s="94"/>
      <c r="D109"/>
      <c r="E109" s="90"/>
      <c r="F109" s="100"/>
      <c r="G109" s="32"/>
      <c r="H109" s="110"/>
      <c r="I109" s="23"/>
      <c r="J109" s="111"/>
      <c r="K109" s="23"/>
      <c r="O109"/>
      <c r="P109"/>
      <c r="Q109"/>
      <c r="R109"/>
      <c r="S109"/>
      <c r="T109"/>
      <c r="U109"/>
      <c r="V109"/>
    </row>
    <row r="110" spans="2:22" ht="13.5">
      <c r="B110" s="91" t="s">
        <v>119</v>
      </c>
      <c r="C110" s="90"/>
      <c r="D110" s="90"/>
      <c r="N110"/>
      <c r="O110"/>
      <c r="P110"/>
      <c r="Q110"/>
      <c r="R110"/>
      <c r="S110"/>
      <c r="T110"/>
      <c r="U110"/>
      <c r="V110"/>
    </row>
    <row r="111" spans="2:22" ht="13.5">
      <c r="B111" s="90" t="s">
        <v>120</v>
      </c>
      <c r="C111" s="91"/>
      <c r="D111" s="90"/>
      <c r="E111" s="90"/>
      <c r="O111"/>
      <c r="P111"/>
      <c r="Q111"/>
      <c r="R111"/>
      <c r="S111"/>
      <c r="T111"/>
      <c r="U111"/>
      <c r="V111"/>
    </row>
    <row r="112" spans="2:22" ht="13.5">
      <c r="B112" s="90"/>
      <c r="C112" s="91"/>
      <c r="D112" s="90"/>
      <c r="E112" s="90"/>
      <c r="O112"/>
      <c r="P112"/>
      <c r="Q112"/>
      <c r="R112"/>
      <c r="S112"/>
      <c r="T112"/>
      <c r="U112"/>
      <c r="V112"/>
    </row>
    <row r="113" spans="2:22" ht="15" thickBot="1">
      <c r="B113" s="94">
        <v>6</v>
      </c>
      <c r="C113" s="114" t="s">
        <v>121</v>
      </c>
      <c r="D113" s="90"/>
      <c r="E113"/>
      <c r="F113"/>
      <c r="G113"/>
      <c r="H113"/>
      <c r="I113"/>
      <c r="J113"/>
      <c r="K113"/>
      <c r="L113"/>
      <c r="O113"/>
      <c r="P113"/>
      <c r="Q113"/>
      <c r="R113"/>
      <c r="S113"/>
      <c r="T113"/>
      <c r="U113"/>
      <c r="V113"/>
    </row>
    <row r="114" spans="2:22" ht="13.5">
      <c r="B114" s="94"/>
      <c r="C114" s="254"/>
      <c r="D114" s="187"/>
      <c r="E114" s="187"/>
      <c r="F114" s="187"/>
      <c r="G114" s="187"/>
      <c r="H114" s="269">
        <f>H99-1</f>
        <v>1</v>
      </c>
      <c r="I114"/>
      <c r="J114" s="23"/>
      <c r="K114" s="111"/>
      <c r="L114" s="23"/>
      <c r="O114"/>
      <c r="P114"/>
      <c r="Q114"/>
      <c r="R114"/>
      <c r="S114"/>
      <c r="T114"/>
      <c r="U114"/>
      <c r="V114"/>
    </row>
    <row r="115" spans="2:22" ht="15" thickBot="1">
      <c r="B115" s="94"/>
      <c r="C115" s="464">
        <f>G91</f>
        <v>140.13333333333333</v>
      </c>
      <c r="D115" s="128" t="s">
        <v>122</v>
      </c>
      <c r="E115" s="206">
        <f>D108</f>
        <v>21.553</v>
      </c>
      <c r="F115" s="128" t="s">
        <v>123</v>
      </c>
      <c r="G115" s="463">
        <f>F108</f>
        <v>16</v>
      </c>
      <c r="H115" s="272" t="s">
        <v>25</v>
      </c>
      <c r="I115"/>
      <c r="J115" s="23"/>
      <c r="K115" s="111"/>
      <c r="L115" s="23"/>
      <c r="O115"/>
      <c r="P115"/>
      <c r="Q115"/>
      <c r="R115"/>
      <c r="S115"/>
      <c r="T115"/>
      <c r="U115"/>
      <c r="V115"/>
    </row>
    <row r="116" spans="2:21" ht="13.5">
      <c r="B116" s="94"/>
      <c r="C116" s="114"/>
      <c r="D116" s="90"/>
      <c r="E116"/>
      <c r="F116" s="111"/>
      <c r="G116" s="23"/>
      <c r="H116" s="110"/>
      <c r="I116"/>
      <c r="J116" s="23"/>
      <c r="K116" s="111"/>
      <c r="L116" s="23"/>
      <c r="O116"/>
      <c r="P116"/>
      <c r="Q116"/>
      <c r="R116"/>
      <c r="S116"/>
      <c r="T116"/>
      <c r="U116"/>
    </row>
    <row r="117" spans="2:22" ht="15" thickBot="1">
      <c r="B117" s="91"/>
      <c r="C117" s="90"/>
      <c r="D117" s="90"/>
      <c r="I117"/>
      <c r="O117"/>
      <c r="P117"/>
      <c r="Q117"/>
      <c r="R117"/>
      <c r="S117"/>
      <c r="T117"/>
      <c r="U117"/>
      <c r="V117"/>
    </row>
    <row r="118" spans="2:22" ht="15" thickBot="1">
      <c r="B118" s="91"/>
      <c r="C118" s="90"/>
      <c r="D118" s="90"/>
      <c r="E118" s="103" t="s">
        <v>14</v>
      </c>
      <c r="F118" s="461">
        <f>((C115-E115)/G115)^(1/H114)</f>
        <v>7.411270833333333</v>
      </c>
      <c r="G118" s="93"/>
      <c r="H118"/>
      <c r="I118"/>
      <c r="N118"/>
      <c r="O118"/>
      <c r="P118"/>
      <c r="Q118"/>
      <c r="R118"/>
      <c r="S118"/>
      <c r="T118"/>
      <c r="U118"/>
      <c r="V118"/>
    </row>
    <row r="119" spans="2:22" ht="13.5">
      <c r="B119" s="90"/>
      <c r="C119" s="91"/>
      <c r="D119" s="90"/>
      <c r="E119" s="90"/>
      <c r="O119"/>
      <c r="P119"/>
      <c r="Q119"/>
      <c r="R119"/>
      <c r="S119"/>
      <c r="T119"/>
      <c r="U119"/>
      <c r="V119"/>
    </row>
    <row r="120" spans="2:18" ht="13.5">
      <c r="B120" s="91" t="s">
        <v>124</v>
      </c>
      <c r="C120"/>
      <c r="D120" s="90"/>
      <c r="E120" s="90"/>
      <c r="O120"/>
      <c r="P120" s="6"/>
      <c r="Q120" s="17"/>
      <c r="R120" s="17"/>
    </row>
    <row r="121" spans="2:18" ht="15" thickBot="1">
      <c r="B121" s="90"/>
      <c r="C121" s="91"/>
      <c r="D121" s="90"/>
      <c r="E121" s="90"/>
      <c r="O121"/>
      <c r="P121" s="6"/>
      <c r="Q121" s="17"/>
      <c r="R121" s="17"/>
    </row>
    <row r="122" spans="2:18" ht="13.5">
      <c r="B122" s="90"/>
      <c r="C122" s="91"/>
      <c r="D122" s="254"/>
      <c r="E122" s="440" t="s">
        <v>125</v>
      </c>
      <c r="F122" s="465">
        <f>F118*C115</f>
        <v>1038.566086111111</v>
      </c>
      <c r="G122"/>
      <c r="P122" s="6"/>
      <c r="Q122" s="16"/>
      <c r="R122" s="16"/>
    </row>
    <row r="123" spans="2:7" ht="13.5">
      <c r="B123" s="90"/>
      <c r="C123" s="91"/>
      <c r="D123" s="257"/>
      <c r="E123" s="298" t="s">
        <v>126</v>
      </c>
      <c r="F123" s="466">
        <f>G17+G18*F118+G19*(F118^2)</f>
        <v>1038.5631693737532</v>
      </c>
      <c r="G123"/>
    </row>
    <row r="124" spans="2:7" ht="15" thickBot="1">
      <c r="B124" s="90"/>
      <c r="C124" s="91"/>
      <c r="D124" s="256"/>
      <c r="E124" s="467" t="s">
        <v>127</v>
      </c>
      <c r="F124" s="468">
        <f>F122-F123</f>
        <v>0.002916737357736565</v>
      </c>
      <c r="G124"/>
    </row>
    <row r="125" spans="2:5" ht="13.5">
      <c r="B125" s="90"/>
      <c r="C125" s="91"/>
      <c r="D125" s="90"/>
      <c r="E125" s="90"/>
    </row>
    <row r="126" spans="2:5" ht="13.5">
      <c r="B126" s="91" t="s">
        <v>128</v>
      </c>
      <c r="C126"/>
      <c r="D126" s="90"/>
      <c r="E126" s="90"/>
    </row>
    <row r="127" spans="2:5" ht="13.5">
      <c r="B127" s="91" t="s">
        <v>129</v>
      </c>
      <c r="C127"/>
      <c r="D127" s="90"/>
      <c r="E127" s="90"/>
    </row>
    <row r="128" spans="2:5" ht="13.5">
      <c r="B128" s="91" t="s">
        <v>130</v>
      </c>
      <c r="C128"/>
      <c r="D128" s="90"/>
      <c r="E128" s="90"/>
    </row>
    <row r="129" spans="2:5" ht="13.5">
      <c r="B129" s="91" t="s">
        <v>131</v>
      </c>
      <c r="C129"/>
      <c r="D129" s="90"/>
      <c r="E129" s="90"/>
    </row>
    <row r="130" spans="2:7" ht="13.5">
      <c r="B130"/>
      <c r="C130"/>
      <c r="D130" s="90"/>
      <c r="E130" s="90"/>
      <c r="F130" s="5"/>
      <c r="G130"/>
    </row>
    <row r="131" spans="2:5" ht="13.5">
      <c r="B131" s="91"/>
      <c r="C131"/>
      <c r="D131" s="90"/>
      <c r="E131" s="90"/>
    </row>
    <row r="132" spans="2:5" ht="13.5">
      <c r="B132" s="91"/>
      <c r="C132"/>
      <c r="D132" s="90"/>
      <c r="E132" s="90"/>
    </row>
    <row r="133" spans="2:5" ht="13.5">
      <c r="B133" s="91"/>
      <c r="C133"/>
      <c r="D133" s="90"/>
      <c r="E133" s="90"/>
    </row>
    <row r="134" spans="2:5" ht="13.5">
      <c r="B134" s="91"/>
      <c r="C134"/>
      <c r="D134" s="90"/>
      <c r="E134" s="90"/>
    </row>
    <row r="135" spans="2:5" ht="13.5">
      <c r="B135" s="91"/>
      <c r="C135"/>
      <c r="D135" s="90"/>
      <c r="E135" s="90"/>
    </row>
    <row r="136" spans="2:5" ht="13.5">
      <c r="B136" s="91"/>
      <c r="C136"/>
      <c r="D136" s="90"/>
      <c r="E136" s="90"/>
    </row>
    <row r="137" spans="2:5" ht="13.5">
      <c r="B137" s="91"/>
      <c r="C137"/>
      <c r="D137" s="90"/>
      <c r="E137" s="90"/>
    </row>
    <row r="138" spans="2:5" ht="13.5">
      <c r="B138" s="91"/>
      <c r="C138"/>
      <c r="D138" s="90"/>
      <c r="E138" s="90"/>
    </row>
    <row r="139" spans="2:5" ht="13.5">
      <c r="B139" s="91"/>
      <c r="C139"/>
      <c r="D139" s="90"/>
      <c r="E139" s="90"/>
    </row>
    <row r="140" spans="2:5" ht="13.5">
      <c r="B140" s="91"/>
      <c r="C140"/>
      <c r="D140" s="90"/>
      <c r="E140" s="90"/>
    </row>
    <row r="141" spans="2:5" ht="13.5">
      <c r="B141" s="91"/>
      <c r="C141"/>
      <c r="D141" s="90"/>
      <c r="E141" s="90"/>
    </row>
    <row r="142" spans="2:5" ht="13.5">
      <c r="B142" s="90"/>
      <c r="C142" s="91"/>
      <c r="D142" s="90"/>
      <c r="E142" s="90"/>
    </row>
    <row r="143" spans="2:5" ht="13.5">
      <c r="B143" s="90"/>
      <c r="C143" s="91"/>
      <c r="D143" s="90"/>
      <c r="E143" s="90"/>
    </row>
    <row r="144" spans="2:5" ht="13.5">
      <c r="B144" s="90"/>
      <c r="C144" s="91"/>
      <c r="D144" s="90"/>
      <c r="E144" s="90"/>
    </row>
    <row r="145" spans="2:5" ht="13.5">
      <c r="B145" s="90"/>
      <c r="C145" s="91"/>
      <c r="D145" s="90"/>
      <c r="E145" s="90"/>
    </row>
    <row r="146" spans="2:5" ht="13.5">
      <c r="B146" s="90"/>
      <c r="C146" s="91"/>
      <c r="D146" s="90"/>
      <c r="E146" s="90"/>
    </row>
    <row r="147" spans="2:5" ht="13.5">
      <c r="B147" s="90"/>
      <c r="C147" s="91"/>
      <c r="D147" s="90"/>
      <c r="E147" s="90"/>
    </row>
    <row r="148" spans="2:5" ht="13.5">
      <c r="B148" s="90"/>
      <c r="C148" s="91"/>
      <c r="D148" s="90"/>
      <c r="E148" s="90"/>
    </row>
    <row r="149" spans="2:5" ht="13.5">
      <c r="B149" s="90"/>
      <c r="C149" s="91"/>
      <c r="D149" s="90"/>
      <c r="E149" s="90"/>
    </row>
    <row r="150" spans="2:5" ht="13.5">
      <c r="B150" s="92" t="s">
        <v>132</v>
      </c>
      <c r="C150" s="91"/>
      <c r="D150" s="90"/>
      <c r="E150" s="90"/>
    </row>
    <row r="151" spans="2:5" ht="13.5">
      <c r="B151" s="91" t="s">
        <v>133</v>
      </c>
      <c r="C151"/>
      <c r="D151" s="90"/>
      <c r="E151" s="90"/>
    </row>
    <row r="152" spans="2:5" ht="13.5">
      <c r="B152" s="91" t="s">
        <v>134</v>
      </c>
      <c r="C152"/>
      <c r="D152" s="90"/>
      <c r="E152" s="90"/>
    </row>
    <row r="153" spans="2:5" ht="13.5">
      <c r="B153" s="91" t="s">
        <v>135</v>
      </c>
      <c r="C153"/>
      <c r="D153" s="90"/>
      <c r="E153" s="90"/>
    </row>
    <row r="154" spans="2:5" ht="13.5">
      <c r="B154" s="91" t="s">
        <v>136</v>
      </c>
      <c r="C154"/>
      <c r="D154" s="90"/>
      <c r="E154" s="90"/>
    </row>
    <row r="155" spans="2:5" ht="13.5">
      <c r="B155" s="90"/>
      <c r="C155" s="91"/>
      <c r="D155" s="90"/>
      <c r="E155" s="90"/>
    </row>
    <row r="156" spans="2:5" ht="15.75">
      <c r="B156" s="90"/>
      <c r="C156" s="91"/>
      <c r="D156" s="90"/>
      <c r="E156" s="90"/>
    </row>
    <row r="157" spans="2:5" ht="15.75">
      <c r="B157" s="90"/>
      <c r="C157" s="91"/>
      <c r="D157" s="90"/>
      <c r="E157" s="90"/>
    </row>
    <row r="158" spans="2:5" ht="15.75">
      <c r="B158" s="90"/>
      <c r="C158" s="91" t="s">
        <v>137</v>
      </c>
      <c r="D158" s="90"/>
      <c r="E158" s="90"/>
    </row>
    <row r="159" spans="2:24" ht="15.75">
      <c r="B159" s="90"/>
      <c r="C159" s="91"/>
      <c r="D159" s="90"/>
      <c r="E159" s="90"/>
      <c r="P159"/>
      <c r="Q159"/>
      <c r="R159"/>
      <c r="S159"/>
      <c r="T159"/>
      <c r="U159"/>
      <c r="V159"/>
      <c r="W159"/>
      <c r="X159"/>
    </row>
    <row r="160" spans="2:24" ht="15.75">
      <c r="B160" s="90"/>
      <c r="C160" s="91"/>
      <c r="D160" s="90"/>
      <c r="E160" s="90"/>
      <c r="P160"/>
      <c r="Q160"/>
      <c r="R160"/>
      <c r="S160"/>
      <c r="T160"/>
      <c r="U160"/>
      <c r="V160"/>
      <c r="W160"/>
      <c r="X160"/>
    </row>
    <row r="161" spans="2:24" ht="15.75">
      <c r="B161" s="90"/>
      <c r="C161" s="91"/>
      <c r="D161" s="90"/>
      <c r="E161" s="90"/>
      <c r="P161"/>
      <c r="Q161"/>
      <c r="R161"/>
      <c r="S161"/>
      <c r="T161"/>
      <c r="U161"/>
      <c r="V161"/>
      <c r="W161"/>
      <c r="X161"/>
    </row>
    <row r="162" spans="2:24" ht="15.75">
      <c r="B162" s="90"/>
      <c r="C162" s="91"/>
      <c r="D162" s="90"/>
      <c r="E162" s="90"/>
      <c r="P162"/>
      <c r="Q162"/>
      <c r="R162"/>
      <c r="S162"/>
      <c r="T162"/>
      <c r="U162"/>
      <c r="V162"/>
      <c r="W162"/>
      <c r="X162"/>
    </row>
    <row r="163" spans="2:24" ht="16.5" thickBot="1">
      <c r="B163" s="90"/>
      <c r="C163" s="91"/>
      <c r="D163" s="90"/>
      <c r="E163" s="90"/>
      <c r="P163"/>
      <c r="Q163"/>
      <c r="R163"/>
      <c r="S163"/>
      <c r="T163"/>
      <c r="U163"/>
      <c r="V163"/>
      <c r="W163"/>
      <c r="X163"/>
    </row>
    <row r="164" spans="2:24" ht="15.75">
      <c r="B164" s="90"/>
      <c r="C164" s="91"/>
      <c r="D164" s="90"/>
      <c r="E164" s="90"/>
      <c r="P164" s="178"/>
      <c r="Q164" s="179"/>
      <c r="R164" s="180">
        <f>$G$34</f>
        <v>0.5</v>
      </c>
      <c r="S164" s="181">
        <f>$G$35</f>
        <v>0.5</v>
      </c>
      <c r="T164" s="44" t="s">
        <v>138</v>
      </c>
      <c r="U164" s="44"/>
      <c r="V164" s="44"/>
      <c r="W164" s="44"/>
      <c r="X164" s="105"/>
    </row>
    <row r="165" spans="2:24" ht="16.5" thickBot="1">
      <c r="B165" s="90"/>
      <c r="C165" s="91"/>
      <c r="D165" s="90"/>
      <c r="E165" s="90"/>
      <c r="P165" s="126" t="s">
        <v>139</v>
      </c>
      <c r="Q165" s="173">
        <f>$G$33</f>
        <v>10</v>
      </c>
      <c r="R165" s="35" t="s">
        <v>140</v>
      </c>
      <c r="S165" s="182" t="s">
        <v>141</v>
      </c>
      <c r="T165" s="167"/>
      <c r="U165" s="27"/>
      <c r="V165" s="27"/>
      <c r="W165" s="27"/>
      <c r="X165" s="26"/>
    </row>
    <row r="166" spans="2:24" ht="16.5" thickBot="1">
      <c r="B166" s="90"/>
      <c r="C166" s="91"/>
      <c r="D166" s="90"/>
      <c r="E166" s="90"/>
      <c r="P166" s="168" t="s">
        <v>142</v>
      </c>
      <c r="Q166" s="160">
        <f>G100*F185</f>
        <v>59.290166666666664</v>
      </c>
      <c r="R166" s="109" t="s">
        <v>143</v>
      </c>
      <c r="S166" s="167"/>
      <c r="T166" s="167"/>
      <c r="U166" s="27"/>
      <c r="V166" s="27"/>
      <c r="W166" s="27"/>
      <c r="X166" s="26"/>
    </row>
    <row r="167" spans="2:24" ht="16.5" thickBot="1">
      <c r="B167" s="90"/>
      <c r="C167" s="91"/>
      <c r="D167" s="90"/>
      <c r="E167" s="90"/>
      <c r="P167" s="131" t="s">
        <v>14</v>
      </c>
      <c r="Q167" s="139">
        <f>F185</f>
        <v>7.411270833333333</v>
      </c>
      <c r="R167" s="27"/>
      <c r="S167" s="167"/>
      <c r="T167" s="167"/>
      <c r="U167" s="27"/>
      <c r="V167" s="27"/>
      <c r="W167" s="27"/>
      <c r="X167" s="26"/>
    </row>
    <row r="168" spans="2:24" ht="15.75">
      <c r="B168" s="90"/>
      <c r="C168" s="91"/>
      <c r="D168" s="90"/>
      <c r="E168" s="90"/>
      <c r="P168" s="131" t="s">
        <v>144</v>
      </c>
      <c r="Q168" s="176">
        <f>$G$36</f>
        <v>40</v>
      </c>
      <c r="R168" s="27"/>
      <c r="S168" s="167"/>
      <c r="T168" s="167"/>
      <c r="U168" s="27"/>
      <c r="V168" s="27"/>
      <c r="W168" s="27"/>
      <c r="X168" s="26"/>
    </row>
    <row r="169" spans="2:24" ht="15" thickBot="1">
      <c r="B169" s="91" t="s">
        <v>145</v>
      </c>
      <c r="C169" s="90"/>
      <c r="D169" s="90"/>
      <c r="P169" s="131" t="s">
        <v>87</v>
      </c>
      <c r="Q169" s="177">
        <f>$G$37</f>
        <v>40</v>
      </c>
      <c r="R169" s="170">
        <f>$G$34</f>
        <v>0.5</v>
      </c>
      <c r="S169" s="170">
        <f>$G$35</f>
        <v>0.5</v>
      </c>
      <c r="T169" s="27"/>
      <c r="U169" s="27"/>
      <c r="V169" s="27"/>
      <c r="W169" s="27"/>
      <c r="X169" s="26"/>
    </row>
    <row r="170" spans="2:24" ht="15" thickBot="1">
      <c r="B170" s="91" t="s">
        <v>146</v>
      </c>
      <c r="C170" s="90"/>
      <c r="D170" s="90"/>
      <c r="P170" s="131" t="s">
        <v>147</v>
      </c>
      <c r="Q170" s="106">
        <f>$G$33</f>
        <v>10</v>
      </c>
      <c r="R170" s="27" t="s">
        <v>140</v>
      </c>
      <c r="S170" s="167" t="s">
        <v>148</v>
      </c>
      <c r="T170" s="107">
        <f>$G$36</f>
        <v>40</v>
      </c>
      <c r="U170" s="27" t="s">
        <v>149</v>
      </c>
      <c r="V170" s="107">
        <f>$G$37</f>
        <v>40</v>
      </c>
      <c r="W170" s="27" t="s">
        <v>150</v>
      </c>
      <c r="X170" s="171">
        <f>-$Q$166</f>
        <v>-59.290166666666664</v>
      </c>
    </row>
    <row r="171" spans="2:24" ht="15" thickBot="1">
      <c r="B171" s="91" t="s">
        <v>151</v>
      </c>
      <c r="C171" s="90"/>
      <c r="D171" s="90"/>
      <c r="E171"/>
      <c r="F171"/>
      <c r="G171" s="443">
        <f>$G$19</f>
        <v>8</v>
      </c>
      <c r="I171"/>
      <c r="P171" s="22"/>
      <c r="Q171" s="106"/>
      <c r="R171" s="170">
        <f>$G$34-1</f>
        <v>-0.5</v>
      </c>
      <c r="S171" s="170">
        <f>$G$35</f>
        <v>0.5</v>
      </c>
      <c r="T171" s="27"/>
      <c r="U171" s="27"/>
      <c r="V171" s="27"/>
      <c r="W171" s="27"/>
      <c r="X171" s="26"/>
    </row>
    <row r="172" spans="2:24" ht="13.5">
      <c r="B172" s="90"/>
      <c r="C172" s="91"/>
      <c r="D172" s="90"/>
      <c r="E172" s="90"/>
      <c r="F172" s="183"/>
      <c r="P172" s="131" t="s">
        <v>152</v>
      </c>
      <c r="Q172" s="106">
        <f>$G$34*$G$33</f>
        <v>5</v>
      </c>
      <c r="R172" s="27" t="s">
        <v>140</v>
      </c>
      <c r="S172" s="167" t="s">
        <v>148</v>
      </c>
      <c r="T172" s="107">
        <f>$G$36</f>
        <v>40</v>
      </c>
      <c r="U172" s="27" t="s">
        <v>153</v>
      </c>
      <c r="V172" s="27"/>
      <c r="W172" s="27"/>
      <c r="X172" s="26"/>
    </row>
    <row r="173" spans="2:24" ht="15" thickBot="1">
      <c r="B173" s="94" t="s">
        <v>154</v>
      </c>
      <c r="C173" s="114" t="s">
        <v>155</v>
      </c>
      <c r="D173" s="90"/>
      <c r="E173"/>
      <c r="I173"/>
      <c r="P173" s="22"/>
      <c r="Q173" s="106"/>
      <c r="R173" s="170">
        <f>$G$34</f>
        <v>0.5</v>
      </c>
      <c r="S173" s="170">
        <f>$G$35-1</f>
        <v>-0.5</v>
      </c>
      <c r="T173" s="27"/>
      <c r="U173" s="27"/>
      <c r="V173" s="27"/>
      <c r="W173" s="27"/>
      <c r="X173" s="26"/>
    </row>
    <row r="174" spans="2:24" ht="15.75">
      <c r="B174" s="91"/>
      <c r="C174" s="254"/>
      <c r="D174" s="187"/>
      <c r="E174" s="187"/>
      <c r="F174" s="469"/>
      <c r="G174" s="187"/>
      <c r="H174" s="269">
        <f>G32</f>
        <v>2</v>
      </c>
      <c r="I174"/>
      <c r="P174" s="131" t="s">
        <v>156</v>
      </c>
      <c r="Q174" s="106">
        <f>$G$35*$G$33</f>
        <v>5</v>
      </c>
      <c r="R174" s="27" t="s">
        <v>140</v>
      </c>
      <c r="S174" s="167" t="s">
        <v>148</v>
      </c>
      <c r="T174" s="107">
        <f>$G$37</f>
        <v>40</v>
      </c>
      <c r="U174" s="27" t="s">
        <v>157</v>
      </c>
      <c r="V174" s="27"/>
      <c r="W174" s="27"/>
      <c r="X174" s="26"/>
    </row>
    <row r="175" spans="2:24" ht="15" thickBot="1">
      <c r="B175" s="91"/>
      <c r="C175" s="102" t="s">
        <v>23</v>
      </c>
      <c r="D175" s="206">
        <f>D100</f>
        <v>439.4125661827812</v>
      </c>
      <c r="E175" s="206">
        <f>G18</f>
        <v>21.553</v>
      </c>
      <c r="F175" s="128" t="s">
        <v>24</v>
      </c>
      <c r="G175" s="206">
        <f>$G$19</f>
        <v>8</v>
      </c>
      <c r="H175" s="272" t="s">
        <v>25</v>
      </c>
      <c r="I175"/>
      <c r="P175" s="22"/>
      <c r="Q175" s="106"/>
      <c r="R175" s="27"/>
      <c r="S175" s="27"/>
      <c r="T175" s="27"/>
      <c r="U175" s="27"/>
      <c r="V175" s="27"/>
      <c r="W175" s="27"/>
      <c r="X175" s="26"/>
    </row>
    <row r="176" spans="2:24" ht="13.5">
      <c r="B176" s="91"/>
      <c r="C176" s="90"/>
      <c r="D176" s="90"/>
      <c r="E176" s="318"/>
      <c r="F176" s="90"/>
      <c r="G176" s="90"/>
      <c r="H176" s="90"/>
      <c r="I176"/>
      <c r="P176" s="153" t="s">
        <v>158</v>
      </c>
      <c r="Q176" s="107">
        <f>$G$36</f>
        <v>40</v>
      </c>
      <c r="R176" s="27" t="s">
        <v>159</v>
      </c>
      <c r="S176" s="107">
        <f>$G$37</f>
        <v>40</v>
      </c>
      <c r="T176" s="27" t="s">
        <v>160</v>
      </c>
      <c r="U176" s="169">
        <f>-$G$19*$Q$167</f>
        <v>-59.290166666666664</v>
      </c>
      <c r="V176" s="27" t="s">
        <v>161</v>
      </c>
      <c r="W176" s="27"/>
      <c r="X176" s="26"/>
    </row>
    <row r="177" spans="2:24" ht="16.5" thickBot="1">
      <c r="B177" s="94" t="s">
        <v>162</v>
      </c>
      <c r="C177" s="114" t="s">
        <v>116</v>
      </c>
      <c r="D177" s="90"/>
      <c r="E177" s="245"/>
      <c r="F177" s="90"/>
      <c r="G177" s="90"/>
      <c r="H177" s="90"/>
      <c r="I177"/>
      <c r="P177" s="22"/>
      <c r="Q177" s="27"/>
      <c r="R177" s="167">
        <f>R171</f>
        <v>-0.5</v>
      </c>
      <c r="S177" s="167">
        <f>S171</f>
        <v>0.5</v>
      </c>
      <c r="T177" s="27"/>
      <c r="U177" s="27"/>
      <c r="V177" s="27"/>
      <c r="W177" s="27"/>
      <c r="X177" s="26"/>
    </row>
    <row r="178" spans="2:24" ht="13.5">
      <c r="B178" s="91"/>
      <c r="C178" s="254"/>
      <c r="D178" s="187"/>
      <c r="E178" s="187"/>
      <c r="F178" s="187"/>
      <c r="G178" s="269">
        <f>H174-1</f>
        <v>1</v>
      </c>
      <c r="H178" s="90"/>
      <c r="I178"/>
      <c r="P178" s="131" t="s">
        <v>152</v>
      </c>
      <c r="Q178" s="167">
        <f>$Q$172/$T$170</f>
        <v>0.125</v>
      </c>
      <c r="R178" s="27" t="s">
        <v>140</v>
      </c>
      <c r="S178" s="167" t="s">
        <v>163</v>
      </c>
      <c r="T178" s="27" t="s">
        <v>164</v>
      </c>
      <c r="U178" s="27"/>
      <c r="V178" s="27"/>
      <c r="W178" s="27"/>
      <c r="X178" s="26"/>
    </row>
    <row r="179" spans="2:24" ht="15" thickBot="1">
      <c r="B179" s="91"/>
      <c r="C179" s="102" t="s">
        <v>117</v>
      </c>
      <c r="D179" s="206">
        <f>E175</f>
        <v>21.553</v>
      </c>
      <c r="E179" s="128" t="s">
        <v>165</v>
      </c>
      <c r="F179" s="206">
        <f>(G175)*H174</f>
        <v>16</v>
      </c>
      <c r="G179" s="272" t="s">
        <v>25</v>
      </c>
      <c r="H179" s="90"/>
      <c r="I179"/>
      <c r="P179" s="22"/>
      <c r="Q179" s="27"/>
      <c r="R179" s="167">
        <f>$R$173</f>
        <v>0.5</v>
      </c>
      <c r="S179" s="167">
        <f>$S$173</f>
        <v>-0.5</v>
      </c>
      <c r="T179" s="27"/>
      <c r="U179" s="27"/>
      <c r="V179" s="27"/>
      <c r="W179" s="27"/>
      <c r="X179" s="26"/>
    </row>
    <row r="180" spans="2:24" ht="15.75">
      <c r="B180" s="90"/>
      <c r="C180" s="90"/>
      <c r="D180" s="90"/>
      <c r="E180" s="90"/>
      <c r="F180" s="245"/>
      <c r="G180" s="245"/>
      <c r="H180" s="245"/>
      <c r="I180"/>
      <c r="J180"/>
      <c r="K180"/>
      <c r="L180"/>
      <c r="P180" s="131" t="s">
        <v>156</v>
      </c>
      <c r="Q180" s="167">
        <f>$Q$174/$T$174</f>
        <v>0.125</v>
      </c>
      <c r="R180" s="27" t="s">
        <v>140</v>
      </c>
      <c r="S180" s="167" t="s">
        <v>166</v>
      </c>
      <c r="T180" s="27" t="s">
        <v>164</v>
      </c>
      <c r="U180" s="27"/>
      <c r="V180" s="27"/>
      <c r="W180" s="27"/>
      <c r="X180" s="26"/>
    </row>
    <row r="181" spans="2:24" ht="16.5" thickBot="1">
      <c r="B181" s="94" t="s">
        <v>167</v>
      </c>
      <c r="C181" s="114" t="s">
        <v>168</v>
      </c>
      <c r="D181" s="90"/>
      <c r="E181" s="245"/>
      <c r="F181" s="245"/>
      <c r="G181" s="245"/>
      <c r="H181" s="245"/>
      <c r="I181"/>
      <c r="J181"/>
      <c r="K181"/>
      <c r="L181"/>
      <c r="P181" s="22"/>
      <c r="Q181" s="27"/>
      <c r="R181" s="27"/>
      <c r="S181" s="27"/>
      <c r="T181" s="27"/>
      <c r="U181" s="27"/>
      <c r="V181" s="27"/>
      <c r="W181" s="27"/>
      <c r="X181" s="26"/>
    </row>
    <row r="182" spans="2:24" ht="13.5">
      <c r="B182" s="91"/>
      <c r="C182" s="254"/>
      <c r="D182" s="187"/>
      <c r="E182" s="187"/>
      <c r="F182" s="187"/>
      <c r="G182" s="187"/>
      <c r="H182" s="269">
        <f>H174-1</f>
        <v>1</v>
      </c>
      <c r="I182"/>
      <c r="P182" s="131" t="s">
        <v>169</v>
      </c>
      <c r="Q182" s="167">
        <f>$Q$180/$Q$178</f>
        <v>1</v>
      </c>
      <c r="R182" s="27" t="s">
        <v>170</v>
      </c>
      <c r="S182" s="27"/>
      <c r="T182" s="27"/>
      <c r="U182" s="27"/>
      <c r="V182" s="27"/>
      <c r="W182" s="27"/>
      <c r="X182" s="26"/>
    </row>
    <row r="183" spans="2:24" ht="15" thickBot="1">
      <c r="B183" s="91"/>
      <c r="C183" s="464">
        <f>C115</f>
        <v>140.13333333333333</v>
      </c>
      <c r="D183" s="128" t="s">
        <v>171</v>
      </c>
      <c r="E183" s="206">
        <f>D179</f>
        <v>21.553</v>
      </c>
      <c r="F183" s="128" t="s">
        <v>172</v>
      </c>
      <c r="G183" s="206">
        <f>F179</f>
        <v>16</v>
      </c>
      <c r="H183" s="272" t="s">
        <v>25</v>
      </c>
      <c r="I183"/>
      <c r="J183"/>
      <c r="K183"/>
      <c r="P183" s="22"/>
      <c r="Q183" s="172">
        <f>$Q$168</f>
        <v>40</v>
      </c>
      <c r="R183" s="27" t="s">
        <v>173</v>
      </c>
      <c r="S183" s="107">
        <f>$Q$169</f>
        <v>40</v>
      </c>
      <c r="T183" s="167">
        <f>$Q$182</f>
        <v>1</v>
      </c>
      <c r="U183" s="27" t="s">
        <v>174</v>
      </c>
      <c r="V183" s="172">
        <f>$Q$166</f>
        <v>59.290166666666664</v>
      </c>
      <c r="W183" s="27"/>
      <c r="X183" s="26"/>
    </row>
    <row r="184" spans="2:24" ht="16.5" thickBot="1">
      <c r="B184"/>
      <c r="C184" s="245"/>
      <c r="D184" s="245"/>
      <c r="E184" s="245"/>
      <c r="F184" s="245"/>
      <c r="G184" s="245"/>
      <c r="H184" s="245"/>
      <c r="I184"/>
      <c r="J184"/>
      <c r="K184"/>
      <c r="P184" s="22"/>
      <c r="Q184" s="172">
        <f>$Q$183</f>
        <v>40</v>
      </c>
      <c r="R184" s="27" t="s">
        <v>149</v>
      </c>
      <c r="S184" s="172">
        <f>$S$183*$T$183</f>
        <v>40</v>
      </c>
      <c r="T184" s="27" t="s">
        <v>175</v>
      </c>
      <c r="U184" s="169">
        <f>$V$183</f>
        <v>59.290166666666664</v>
      </c>
      <c r="V184" s="27"/>
      <c r="W184" s="27"/>
      <c r="X184" s="26"/>
    </row>
    <row r="185" spans="2:24" ht="15" thickBot="1">
      <c r="B185" s="91"/>
      <c r="C185" s="90"/>
      <c r="D185" s="90"/>
      <c r="E185" s="103" t="s">
        <v>14</v>
      </c>
      <c r="F185" s="461">
        <f>((C183-E183)/G183)^1/H182</f>
        <v>7.411270833333333</v>
      </c>
      <c r="G185" s="90"/>
      <c r="H185" s="90"/>
      <c r="I185"/>
      <c r="P185" s="22"/>
      <c r="Q185" s="172">
        <f>SUM($Q$184,$S$184)</f>
        <v>80</v>
      </c>
      <c r="R185" s="27" t="s">
        <v>176</v>
      </c>
      <c r="S185" s="169">
        <f>$U$184</f>
        <v>59.290166666666664</v>
      </c>
      <c r="T185" s="27" t="s">
        <v>177</v>
      </c>
      <c r="U185" s="169"/>
      <c r="V185" s="27"/>
      <c r="W185" s="27"/>
      <c r="X185" s="26"/>
    </row>
    <row r="186" spans="2:24" ht="15.75">
      <c r="B186" s="91"/>
      <c r="C186" s="90"/>
      <c r="D186" s="90"/>
      <c r="E186" s="90"/>
      <c r="F186" s="245"/>
      <c r="G186" s="245"/>
      <c r="H186" s="245"/>
      <c r="I186"/>
      <c r="J186"/>
      <c r="K186"/>
      <c r="L186"/>
      <c r="P186" s="22"/>
      <c r="Q186" s="124" t="s">
        <v>178</v>
      </c>
      <c r="R186" s="125">
        <f>$U$184/($Q$184+$S$184)</f>
        <v>0.7411270833333333</v>
      </c>
      <c r="S186" s="27" t="s">
        <v>179</v>
      </c>
      <c r="T186" s="27"/>
      <c r="U186" s="27"/>
      <c r="V186" s="27"/>
      <c r="W186" s="27"/>
      <c r="X186" s="26"/>
    </row>
    <row r="187" spans="2:24" ht="16.5" thickBot="1">
      <c r="B187" s="91" t="s">
        <v>26</v>
      </c>
      <c r="C187" s="245"/>
      <c r="D187" s="245"/>
      <c r="E187" s="245"/>
      <c r="F187" s="245"/>
      <c r="G187" s="245"/>
      <c r="H187" s="245"/>
      <c r="I187"/>
      <c r="J187"/>
      <c r="K187"/>
      <c r="L187"/>
      <c r="P187" s="22"/>
      <c r="Q187" s="166" t="s">
        <v>27</v>
      </c>
      <c r="R187" s="175">
        <f>($U$184-($Q$176*$R$186))/$Q$169</f>
        <v>0.7411270833333333</v>
      </c>
      <c r="S187" s="27" t="s">
        <v>28</v>
      </c>
      <c r="T187" s="27"/>
      <c r="U187" s="27"/>
      <c r="V187" s="27"/>
      <c r="W187" s="27"/>
      <c r="X187" s="26"/>
    </row>
    <row r="188" spans="2:24" ht="15" thickBot="1">
      <c r="B188" s="91" t="s">
        <v>29</v>
      </c>
      <c r="C188" s="90"/>
      <c r="D188" s="90"/>
      <c r="E188" s="90"/>
      <c r="F188" s="90"/>
      <c r="G188" s="90"/>
      <c r="H188" s="90"/>
      <c r="I188"/>
      <c r="P188" s="174"/>
      <c r="Q188" s="89" t="s">
        <v>139</v>
      </c>
      <c r="R188" s="137">
        <f>$Q$165*($R$186^$R$164)*($R$187^$S$164)</f>
        <v>7.411270833333333</v>
      </c>
      <c r="S188" s="14"/>
      <c r="T188" s="14"/>
      <c r="U188" s="14"/>
      <c r="V188" s="14"/>
      <c r="W188" s="14"/>
      <c r="X188" s="145"/>
    </row>
    <row r="189" spans="2:9" ht="12" customHeight="1" thickBot="1">
      <c r="B189" s="91"/>
      <c r="C189" s="90"/>
      <c r="D189" s="90"/>
      <c r="E189" s="245"/>
      <c r="F189" s="245"/>
      <c r="G189" s="90"/>
      <c r="H189" s="90"/>
      <c r="I189"/>
    </row>
    <row r="190" spans="2:9" ht="15" thickBot="1">
      <c r="B190" s="91"/>
      <c r="C190" s="470">
        <f>G175</f>
        <v>8</v>
      </c>
      <c r="D190" s="241">
        <f>F185</f>
        <v>7.411270833333333</v>
      </c>
      <c r="E190" s="244" t="s">
        <v>30</v>
      </c>
      <c r="F190" s="471">
        <f>C190*D190</f>
        <v>59.290166666666664</v>
      </c>
      <c r="G190" s="90" t="s">
        <v>31</v>
      </c>
      <c r="H190" s="90"/>
      <c r="I190"/>
    </row>
    <row r="191" spans="2:8" ht="15.75">
      <c r="B191" s="90"/>
      <c r="C191" s="245"/>
      <c r="D191" s="90"/>
      <c r="E191" s="90"/>
      <c r="F191" s="90"/>
      <c r="G191" s="90"/>
      <c r="H191" s="90"/>
    </row>
    <row r="192" spans="2:8" ht="15.75">
      <c r="B192" s="91" t="s">
        <v>32</v>
      </c>
      <c r="C192" s="245"/>
      <c r="D192" s="90"/>
      <c r="E192" s="90"/>
      <c r="F192" s="90"/>
      <c r="G192" s="90"/>
      <c r="H192" s="90"/>
    </row>
    <row r="193" spans="2:8" ht="15.75">
      <c r="B193" s="91" t="s">
        <v>33</v>
      </c>
      <c r="C193" s="245"/>
      <c r="D193" s="90"/>
      <c r="E193" s="90"/>
      <c r="F193" s="90"/>
      <c r="G193" s="90"/>
      <c r="H193" s="90"/>
    </row>
    <row r="194" spans="2:8" ht="12" customHeight="1" thickBot="1">
      <c r="B194" s="90"/>
      <c r="C194" s="91"/>
      <c r="D194" s="245"/>
      <c r="E194" s="245"/>
      <c r="F194" s="245"/>
      <c r="G194" s="245"/>
      <c r="H194" s="245"/>
    </row>
    <row r="195" spans="2:8" ht="13.5">
      <c r="B195" s="90"/>
      <c r="C195" s="91"/>
      <c r="D195" s="101" t="s">
        <v>34</v>
      </c>
      <c r="E195" s="269">
        <f>R186</f>
        <v>0.7411270833333333</v>
      </c>
      <c r="F195" s="90"/>
      <c r="G195" s="90"/>
      <c r="H195" s="90"/>
    </row>
    <row r="196" spans="2:8" ht="16.5" thickBot="1">
      <c r="B196" s="90"/>
      <c r="C196" s="245"/>
      <c r="D196" s="102" t="s">
        <v>35</v>
      </c>
      <c r="E196" s="408">
        <f>R187</f>
        <v>0.7411270833333333</v>
      </c>
      <c r="F196" s="90"/>
      <c r="G196" s="90"/>
      <c r="H196" s="90"/>
    </row>
    <row r="197" spans="2:5" ht="15" thickBot="1">
      <c r="B197" s="90"/>
      <c r="C197"/>
      <c r="D197" s="103" t="s">
        <v>139</v>
      </c>
      <c r="E197" s="136">
        <f>G33*(E195^G34)*(E196^G35)</f>
        <v>7.411270833333333</v>
      </c>
    </row>
    <row r="198" spans="2:5" ht="13.5">
      <c r="B198" s="90"/>
      <c r="C198" s="91"/>
      <c r="D198" s="90"/>
      <c r="E198" s="90"/>
    </row>
    <row r="199" spans="2:6" ht="13.5">
      <c r="B199" s="90" t="s">
        <v>36</v>
      </c>
      <c r="C199"/>
      <c r="D199"/>
      <c r="E199"/>
      <c r="F199"/>
    </row>
    <row r="200" spans="2:6" ht="13.5">
      <c r="B200" s="90" t="s">
        <v>37</v>
      </c>
      <c r="C200"/>
      <c r="D200"/>
      <c r="E200"/>
      <c r="F200"/>
    </row>
    <row r="201" spans="2:6" ht="13.5">
      <c r="B201" s="90" t="s">
        <v>38</v>
      </c>
      <c r="C201"/>
      <c r="D201"/>
      <c r="E201"/>
      <c r="F201"/>
    </row>
    <row r="202" spans="2:6" ht="13.5">
      <c r="B202" s="91"/>
      <c r="C202"/>
      <c r="D202" s="98"/>
      <c r="E202" s="134"/>
      <c r="F202" s="90"/>
    </row>
    <row r="203" spans="2:6" ht="13.5">
      <c r="B203" s="91" t="s">
        <v>39</v>
      </c>
      <c r="C203"/>
      <c r="D203" s="98"/>
      <c r="E203" s="134"/>
      <c r="F203" s="90"/>
    </row>
    <row r="204" spans="2:6" ht="13.5">
      <c r="B204" s="91" t="s">
        <v>194</v>
      </c>
      <c r="C204"/>
      <c r="D204" s="98"/>
      <c r="E204" s="134"/>
      <c r="F204" s="90"/>
    </row>
    <row r="205" spans="2:6" ht="13.5">
      <c r="B205" s="90"/>
      <c r="C205" s="91"/>
      <c r="D205" s="98"/>
      <c r="E205" s="134"/>
      <c r="F205" s="90"/>
    </row>
    <row r="206" spans="2:6" ht="13.5">
      <c r="B206" s="90"/>
      <c r="C206" s="91"/>
      <c r="D206" s="98"/>
      <c r="E206" s="134"/>
      <c r="F206" s="90"/>
    </row>
    <row r="207" spans="2:6" ht="15" thickBot="1">
      <c r="B207" s="90"/>
      <c r="C207" s="91"/>
      <c r="D207" s="98"/>
      <c r="E207" s="134"/>
      <c r="F207" s="90"/>
    </row>
    <row r="208" spans="2:8" ht="13.5">
      <c r="B208" s="90"/>
      <c r="C208" s="90"/>
      <c r="D208" s="91"/>
      <c r="E208" s="98" t="s">
        <v>195</v>
      </c>
      <c r="F208" s="447">
        <f>G36*E195+G37*E196</f>
        <v>59.290166666666664</v>
      </c>
      <c r="G208" s="90"/>
      <c r="H208"/>
    </row>
    <row r="209" spans="2:9" ht="13.5">
      <c r="B209" s="90"/>
      <c r="C209" s="90"/>
      <c r="D209" s="91"/>
      <c r="E209" s="98" t="s">
        <v>196</v>
      </c>
      <c r="F209" s="448">
        <f>G175*(E197^H174)-F208</f>
        <v>380.1253162534722</v>
      </c>
      <c r="G209" s="92" t="s">
        <v>197</v>
      </c>
      <c r="H209"/>
      <c r="I209"/>
    </row>
    <row r="210" spans="2:9" ht="13.5">
      <c r="B210" s="90"/>
      <c r="C210" s="90"/>
      <c r="D210" s="91"/>
      <c r="E210" s="98" t="s">
        <v>198</v>
      </c>
      <c r="F210" s="448">
        <f>E175*E197</f>
        <v>159.73512027083333</v>
      </c>
      <c r="G210" s="92" t="s">
        <v>199</v>
      </c>
      <c r="H210"/>
      <c r="I210"/>
    </row>
    <row r="211" spans="2:9" ht="13.5">
      <c r="B211" s="90"/>
      <c r="C211" s="90"/>
      <c r="D211" s="91"/>
      <c r="E211" s="98" t="s">
        <v>200</v>
      </c>
      <c r="F211" s="448">
        <f>D175</f>
        <v>439.4125661827812</v>
      </c>
      <c r="G211" s="92" t="s">
        <v>201</v>
      </c>
      <c r="H211"/>
      <c r="I211"/>
    </row>
    <row r="212" spans="2:8" ht="15" thickBot="1">
      <c r="B212" s="90"/>
      <c r="C212" s="90"/>
      <c r="D212" s="91"/>
      <c r="E212" s="98" t="s">
        <v>126</v>
      </c>
      <c r="F212" s="449">
        <f>SUM(F208:F211)</f>
        <v>1038.5631693737535</v>
      </c>
      <c r="G212" s="90"/>
      <c r="H212"/>
    </row>
    <row r="213" spans="2:7" ht="13.5">
      <c r="B213"/>
      <c r="C213"/>
      <c r="D213"/>
      <c r="E213" s="91"/>
      <c r="F213" s="98"/>
      <c r="G213" s="230"/>
    </row>
    <row r="214" spans="2:7" ht="13.5">
      <c r="B214"/>
      <c r="C214" s="221" t="s">
        <v>202</v>
      </c>
      <c r="D214" s="90" t="s">
        <v>203</v>
      </c>
      <c r="E214" s="91"/>
      <c r="F214" s="98"/>
      <c r="G214" s="230"/>
    </row>
    <row r="215" spans="2:7" ht="13.5">
      <c r="B215"/>
      <c r="C215" s="221" t="s">
        <v>204</v>
      </c>
      <c r="D215" s="90" t="s">
        <v>205</v>
      </c>
      <c r="E215" s="91"/>
      <c r="F215" s="98"/>
      <c r="G215" s="230"/>
    </row>
    <row r="216" spans="2:7" ht="13.5">
      <c r="B216"/>
      <c r="C216" s="221" t="s">
        <v>206</v>
      </c>
      <c r="D216" s="90" t="s">
        <v>207</v>
      </c>
      <c r="E216" s="91"/>
      <c r="F216" s="98"/>
      <c r="G216" s="230"/>
    </row>
    <row r="217" spans="2:7" ht="13.5">
      <c r="B217"/>
      <c r="C217"/>
      <c r="D217" s="90"/>
      <c r="E217" s="91"/>
      <c r="F217" s="98"/>
      <c r="G217" s="183"/>
    </row>
    <row r="218" spans="2:6" ht="13.5">
      <c r="B218" s="91" t="s">
        <v>208</v>
      </c>
      <c r="C218"/>
      <c r="D218" s="98"/>
      <c r="E218" s="134"/>
      <c r="F218" s="90"/>
    </row>
    <row r="219" spans="2:6" ht="15" thickBot="1">
      <c r="B219" s="90"/>
      <c r="C219" s="91"/>
      <c r="D219" s="98"/>
      <c r="E219" s="134"/>
      <c r="F219" s="90"/>
    </row>
    <row r="220" spans="2:9" ht="13.5">
      <c r="B220" s="90"/>
      <c r="C220" s="91"/>
      <c r="D220" s="254"/>
      <c r="E220" s="440" t="s">
        <v>125</v>
      </c>
      <c r="F220" s="465">
        <f>C183*F185</f>
        <v>1038.566086111111</v>
      </c>
      <c r="G220"/>
      <c r="I220"/>
    </row>
    <row r="221" spans="2:7" ht="13.5">
      <c r="B221" s="90"/>
      <c r="C221" s="91"/>
      <c r="D221" s="257"/>
      <c r="E221" s="298" t="s">
        <v>126</v>
      </c>
      <c r="F221" s="466">
        <f>D175+E175*F185+G175*(F185^H174)</f>
        <v>1038.5631693737532</v>
      </c>
      <c r="G221"/>
    </row>
    <row r="222" spans="2:7" ht="15" thickBot="1">
      <c r="B222" s="90"/>
      <c r="C222" s="91"/>
      <c r="D222" s="256"/>
      <c r="E222" s="467" t="s">
        <v>127</v>
      </c>
      <c r="F222" s="468">
        <f>F220-F221</f>
        <v>0.002916737357736565</v>
      </c>
      <c r="G222"/>
    </row>
    <row r="223" spans="2:7" ht="13.5">
      <c r="B223" s="90"/>
      <c r="C223" s="91"/>
      <c r="D223" s="98"/>
      <c r="E223" s="134"/>
      <c r="F223" s="32"/>
      <c r="G223" s="111"/>
    </row>
    <row r="224" spans="2:10" ht="13.5">
      <c r="B224" s="91" t="s">
        <v>209</v>
      </c>
      <c r="C224"/>
      <c r="D224" s="98"/>
      <c r="E224" s="134"/>
      <c r="F224" s="90"/>
      <c r="J224"/>
    </row>
    <row r="225" spans="2:6" ht="13.5">
      <c r="B225" s="91" t="s">
        <v>210</v>
      </c>
      <c r="C225"/>
      <c r="D225" s="98"/>
      <c r="E225" s="134"/>
      <c r="F225" s="90"/>
    </row>
    <row r="226" spans="2:6" ht="13.5">
      <c r="B226" s="90"/>
      <c r="C226"/>
      <c r="D226" s="98"/>
      <c r="E226" s="134"/>
      <c r="F226" s="90"/>
    </row>
    <row r="227" spans="2:9" ht="13.5">
      <c r="B227" s="90"/>
      <c r="C227" s="91"/>
      <c r="D227" s="98"/>
      <c r="E227" s="450"/>
      <c r="F227" s="100" t="s">
        <v>211</v>
      </c>
      <c r="G227" s="90"/>
      <c r="H227"/>
      <c r="I227"/>
    </row>
    <row r="228" spans="2:9" ht="15.75">
      <c r="B228" s="90"/>
      <c r="C228" s="91"/>
      <c r="D228" s="98"/>
      <c r="E228" s="3" t="s">
        <v>212</v>
      </c>
      <c r="F228" s="245"/>
      <c r="G228" s="90"/>
      <c r="H228"/>
      <c r="I228"/>
    </row>
    <row r="229" spans="2:9" ht="15" thickBot="1">
      <c r="B229" s="90"/>
      <c r="C229" s="98"/>
      <c r="D229" s="450" t="s">
        <v>213</v>
      </c>
      <c r="E229" s="90"/>
      <c r="F229" s="92" t="s">
        <v>214</v>
      </c>
      <c r="G229" s="90"/>
      <c r="H229"/>
      <c r="I229"/>
    </row>
    <row r="230" spans="2:9" ht="15.75">
      <c r="B230" s="90"/>
      <c r="C230" s="451" t="s">
        <v>215</v>
      </c>
      <c r="D230" s="452" t="s">
        <v>216</v>
      </c>
      <c r="E230" s="453" t="s">
        <v>217</v>
      </c>
      <c r="F230" s="453" t="s">
        <v>216</v>
      </c>
      <c r="G230" s="454" t="s">
        <v>217</v>
      </c>
      <c r="H230"/>
      <c r="I230"/>
    </row>
    <row r="231" spans="2:9" ht="13.5">
      <c r="B231" s="90"/>
      <c r="C231" s="100" t="s">
        <v>218</v>
      </c>
      <c r="D231" s="455" t="s">
        <v>219</v>
      </c>
      <c r="E231" s="456" t="s">
        <v>220</v>
      </c>
      <c r="F231" s="456" t="s">
        <v>219</v>
      </c>
      <c r="G231" s="457" t="s">
        <v>220</v>
      </c>
      <c r="H231"/>
      <c r="I231"/>
    </row>
    <row r="232" spans="2:9" ht="18">
      <c r="B232"/>
      <c r="C232" s="219" t="s">
        <v>3</v>
      </c>
      <c r="D232" s="455" t="s">
        <v>219</v>
      </c>
      <c r="E232" s="456" t="s">
        <v>220</v>
      </c>
      <c r="F232" s="456" t="s">
        <v>219</v>
      </c>
      <c r="G232" s="457" t="s">
        <v>220</v>
      </c>
      <c r="H232"/>
      <c r="I232"/>
    </row>
    <row r="233" spans="2:9" ht="18">
      <c r="B233"/>
      <c r="C233" s="219" t="s">
        <v>4</v>
      </c>
      <c r="D233" s="455" t="s">
        <v>219</v>
      </c>
      <c r="E233" s="456" t="s">
        <v>220</v>
      </c>
      <c r="F233" s="456" t="s">
        <v>219</v>
      </c>
      <c r="G233" s="457" t="s">
        <v>220</v>
      </c>
      <c r="H233"/>
      <c r="I233"/>
    </row>
    <row r="234" spans="2:20" ht="13.5">
      <c r="B234"/>
      <c r="C234" s="100" t="s">
        <v>221</v>
      </c>
      <c r="D234" s="455" t="s">
        <v>220</v>
      </c>
      <c r="E234" s="456" t="s">
        <v>219</v>
      </c>
      <c r="F234" s="456" t="s">
        <v>220</v>
      </c>
      <c r="G234" s="457" t="s">
        <v>219</v>
      </c>
      <c r="H234"/>
      <c r="I234"/>
      <c r="Q234"/>
      <c r="R234"/>
      <c r="S234"/>
      <c r="T234"/>
    </row>
    <row r="235" spans="2:20" ht="15" thickBot="1">
      <c r="B235"/>
      <c r="C235" s="100" t="s">
        <v>222</v>
      </c>
      <c r="D235" s="458" t="s">
        <v>220</v>
      </c>
      <c r="E235" s="459" t="s">
        <v>219</v>
      </c>
      <c r="F235" s="459" t="s">
        <v>220</v>
      </c>
      <c r="G235" s="460" t="s">
        <v>219</v>
      </c>
      <c r="H235"/>
      <c r="I235"/>
      <c r="Q235"/>
      <c r="R235"/>
      <c r="S235"/>
      <c r="T235"/>
    </row>
    <row r="236" spans="2:20" ht="13.5" thickBot="1">
      <c r="B236"/>
      <c r="C236"/>
      <c r="D236"/>
      <c r="E236"/>
      <c r="F236"/>
      <c r="G236"/>
      <c r="Q236" s="2" t="s">
        <v>223</v>
      </c>
      <c r="R236" s="2" t="s">
        <v>224</v>
      </c>
      <c r="S236" s="132" t="s">
        <v>225</v>
      </c>
      <c r="T236" s="2" t="s">
        <v>226</v>
      </c>
    </row>
    <row r="237" spans="2:20" ht="13.5">
      <c r="B237" s="90"/>
      <c r="C237" s="91"/>
      <c r="D237" s="90"/>
      <c r="E237" s="90"/>
      <c r="F237" s="100"/>
      <c r="G237"/>
      <c r="Q237" s="196">
        <v>1.05</v>
      </c>
      <c r="R237" s="197">
        <f aca="true" t="shared" si="10" ref="R237:R244">G271</f>
        <v>0.7773908057450076</v>
      </c>
      <c r="S237" s="198">
        <f aca="true" t="shared" si="11" ref="S237:S244">J273</f>
        <v>0</v>
      </c>
      <c r="T237" s="201">
        <f aca="true" t="shared" si="12" ref="T237:T244">C271</f>
        <v>282.334259259259</v>
      </c>
    </row>
    <row r="238" spans="2:20" ht="13.5">
      <c r="B238" s="90"/>
      <c r="C238" s="91"/>
      <c r="D238" s="90"/>
      <c r="E238" s="90"/>
      <c r="Q238" s="193">
        <v>1.1</v>
      </c>
      <c r="R238" s="199">
        <f t="shared" si="10"/>
        <v>0.7470032909205897</v>
      </c>
      <c r="S238" s="200">
        <f t="shared" si="11"/>
        <v>0</v>
      </c>
      <c r="T238" s="202">
        <f t="shared" si="12"/>
        <v>134.7504419191918</v>
      </c>
    </row>
    <row r="239" spans="2:20" ht="13.5">
      <c r="B239" s="90"/>
      <c r="C239" s="91"/>
      <c r="D239" s="90"/>
      <c r="E239" s="90"/>
      <c r="Q239" s="193">
        <v>1.25</v>
      </c>
      <c r="R239" s="199">
        <f t="shared" si="10"/>
        <v>0.6452074963929979</v>
      </c>
      <c r="S239" s="200">
        <f t="shared" si="11"/>
        <v>0</v>
      </c>
      <c r="T239" s="202">
        <f t="shared" si="12"/>
        <v>47.43215555555555</v>
      </c>
    </row>
    <row r="240" spans="2:20" ht="13.5">
      <c r="B240" s="90"/>
      <c r="C240" s="91"/>
      <c r="D240" s="90"/>
      <c r="E240" s="90"/>
      <c r="Q240" s="193">
        <v>1.5</v>
      </c>
      <c r="R240" s="199">
        <f t="shared" si="10"/>
        <v>0.4440236163903003</v>
      </c>
      <c r="S240" s="200">
        <f t="shared" si="11"/>
        <v>0</v>
      </c>
      <c r="T240" s="202">
        <f t="shared" si="12"/>
        <v>19.76339814814815</v>
      </c>
    </row>
    <row r="241" spans="2:20" ht="13.5">
      <c r="B241" s="90"/>
      <c r="C241" s="91"/>
      <c r="D241" s="90"/>
      <c r="E241" s="90"/>
      <c r="Q241" s="193">
        <v>2</v>
      </c>
      <c r="R241" s="199">
        <f t="shared" si="10"/>
        <v>3.280833396669124E-06</v>
      </c>
      <c r="S241" s="200">
        <f t="shared" si="11"/>
        <v>0</v>
      </c>
      <c r="T241" s="202">
        <f t="shared" si="12"/>
        <v>7.411274305555556</v>
      </c>
    </row>
    <row r="242" spans="2:20" ht="13.5">
      <c r="B242" s="90"/>
      <c r="C242" s="91"/>
      <c r="D242" s="90"/>
      <c r="E242" s="90"/>
      <c r="Q242" s="193">
        <v>2.5</v>
      </c>
      <c r="R242" s="199">
        <f t="shared" si="10"/>
        <v>-0.4051136703159764</v>
      </c>
      <c r="S242" s="200">
        <f t="shared" si="11"/>
        <v>0</v>
      </c>
      <c r="T242" s="202">
        <f t="shared" si="12"/>
        <v>3.9526796296296296</v>
      </c>
    </row>
    <row r="243" spans="2:20" ht="13.5">
      <c r="B243" s="90"/>
      <c r="C243" s="91"/>
      <c r="D243" s="90"/>
      <c r="E243" s="90"/>
      <c r="Q243" s="193">
        <v>3</v>
      </c>
      <c r="R243" s="199">
        <f t="shared" si="10"/>
        <v>-0.789785323617914</v>
      </c>
      <c r="S243" s="200">
        <f t="shared" si="11"/>
        <v>0</v>
      </c>
      <c r="T243" s="202">
        <f t="shared" si="12"/>
        <v>2.4704247685185186</v>
      </c>
    </row>
    <row r="244" spans="2:20" ht="15" thickBot="1">
      <c r="B244" s="90"/>
      <c r="C244" s="91"/>
      <c r="D244" s="90"/>
      <c r="E244" s="90"/>
      <c r="Q244" s="154">
        <v>3.5</v>
      </c>
      <c r="R244" s="194">
        <f t="shared" si="10"/>
        <v>-1.2469383412949628</v>
      </c>
      <c r="S244" s="195">
        <f t="shared" si="11"/>
        <v>0</v>
      </c>
      <c r="T244" s="203">
        <f t="shared" si="12"/>
        <v>1.6940055555555555</v>
      </c>
    </row>
    <row r="245" spans="2:5" ht="13.5">
      <c r="B245" s="90"/>
      <c r="C245" s="91"/>
      <c r="D245" s="90"/>
      <c r="E245" s="90"/>
    </row>
    <row r="246" spans="2:5" ht="13.5">
      <c r="B246" s="90"/>
      <c r="C246" s="91"/>
      <c r="D246" s="90"/>
      <c r="E246" s="90"/>
    </row>
    <row r="247" spans="2:5" ht="13.5">
      <c r="B247" s="90"/>
      <c r="C247" s="91"/>
      <c r="D247" s="90"/>
      <c r="E247" s="90"/>
    </row>
    <row r="248" spans="2:5" ht="13.5">
      <c r="B248" s="90"/>
      <c r="C248" s="91"/>
      <c r="D248" s="90"/>
      <c r="E248" s="90"/>
    </row>
    <row r="249" spans="2:5" ht="13.5">
      <c r="B249" s="90"/>
      <c r="C249" s="91"/>
      <c r="D249" s="90"/>
      <c r="E249" s="90"/>
    </row>
    <row r="250" spans="2:5" ht="13.5">
      <c r="B250" s="90"/>
      <c r="C250" s="91"/>
      <c r="D250" s="90"/>
      <c r="E250" s="90"/>
    </row>
    <row r="251" spans="2:5" ht="13.5">
      <c r="B251" s="90"/>
      <c r="C251" s="91"/>
      <c r="D251" s="90"/>
      <c r="E251" s="90"/>
    </row>
    <row r="252" spans="2:5" ht="13.5">
      <c r="B252" s="90"/>
      <c r="C252" s="91"/>
      <c r="D252" s="90"/>
      <c r="E252" s="90"/>
    </row>
    <row r="253" spans="2:5" ht="13.5">
      <c r="B253" s="90"/>
      <c r="C253" s="91"/>
      <c r="D253" s="90"/>
      <c r="E253" s="90"/>
    </row>
    <row r="254" spans="2:5" ht="13.5">
      <c r="B254" s="90"/>
      <c r="C254" s="91"/>
      <c r="D254" s="90"/>
      <c r="E254" s="90"/>
    </row>
    <row r="255" spans="2:5" ht="13.5">
      <c r="B255" s="90"/>
      <c r="C255" s="91"/>
      <c r="D255" s="90"/>
      <c r="E255" s="90"/>
    </row>
    <row r="256" spans="2:5" ht="13.5">
      <c r="B256" s="92" t="s">
        <v>227</v>
      </c>
      <c r="C256" s="91"/>
      <c r="D256" s="90"/>
      <c r="E256" s="90"/>
    </row>
    <row r="257" spans="2:5" ht="13.5">
      <c r="B257" s="91" t="s">
        <v>228</v>
      </c>
      <c r="C257" s="91"/>
      <c r="D257" s="90"/>
      <c r="E257" s="90"/>
    </row>
    <row r="258" spans="2:5" ht="13.5">
      <c r="B258" s="91" t="s">
        <v>229</v>
      </c>
      <c r="C258" s="94" t="s">
        <v>230</v>
      </c>
      <c r="D258" s="90"/>
      <c r="E258" s="90"/>
    </row>
    <row r="259" spans="2:5" ht="13.5">
      <c r="B259" s="91" t="s">
        <v>231</v>
      </c>
      <c r="C259"/>
      <c r="D259" s="90"/>
      <c r="E259" s="90"/>
    </row>
    <row r="260" spans="2:5" ht="13.5">
      <c r="B260" s="91" t="s">
        <v>232</v>
      </c>
      <c r="C260"/>
      <c r="D260" s="90"/>
      <c r="E260" s="90"/>
    </row>
    <row r="261" spans="2:5" ht="13.5">
      <c r="B261" s="91" t="s">
        <v>233</v>
      </c>
      <c r="C261"/>
      <c r="D261" s="90"/>
      <c r="E261" s="90"/>
    </row>
    <row r="262" spans="2:5" ht="13.5">
      <c r="B262" s="91" t="s">
        <v>234</v>
      </c>
      <c r="C262"/>
      <c r="D262" s="90"/>
      <c r="E262" s="90"/>
    </row>
    <row r="263" spans="2:5" ht="13.5">
      <c r="B263" s="91" t="s">
        <v>235</v>
      </c>
      <c r="C263"/>
      <c r="D263" s="90"/>
      <c r="E263" s="90"/>
    </row>
    <row r="264" spans="2:5" ht="13.5">
      <c r="B264" s="91" t="s">
        <v>236</v>
      </c>
      <c r="C264"/>
      <c r="D264" s="90"/>
      <c r="E264" s="90"/>
    </row>
    <row r="265" spans="2:5" ht="13.5">
      <c r="B265" s="91" t="s">
        <v>237</v>
      </c>
      <c r="C265"/>
      <c r="D265" s="90"/>
      <c r="E265" s="90"/>
    </row>
    <row r="266" spans="2:5" ht="13.5">
      <c r="B266"/>
      <c r="C266"/>
      <c r="D266" s="90"/>
      <c r="E266" s="90"/>
    </row>
    <row r="267" spans="2:7" ht="13.5">
      <c r="B267" s="91"/>
      <c r="C267" s="90"/>
      <c r="D267" s="90"/>
      <c r="F267" s="114" t="s">
        <v>238</v>
      </c>
      <c r="G267"/>
    </row>
    <row r="268" spans="2:7" ht="15" thickBot="1">
      <c r="B268" s="91"/>
      <c r="C268" s="90"/>
      <c r="D268" s="90"/>
      <c r="F268" s="3" t="s">
        <v>239</v>
      </c>
      <c r="G268"/>
    </row>
    <row r="269" spans="2:9" ht="13.5">
      <c r="B269" s="191"/>
      <c r="C269" s="188"/>
      <c r="D269" s="188"/>
      <c r="E269" s="189"/>
      <c r="F269" s="189"/>
      <c r="G269" s="119" t="s">
        <v>240</v>
      </c>
      <c r="H269" s="190" t="s">
        <v>241</v>
      </c>
      <c r="I269" s="204" t="s">
        <v>242</v>
      </c>
    </row>
    <row r="270" spans="2:9" ht="12.75" thickBot="1">
      <c r="B270" s="192" t="s">
        <v>243</v>
      </c>
      <c r="C270" s="120" t="s">
        <v>226</v>
      </c>
      <c r="D270" s="120" t="s">
        <v>244</v>
      </c>
      <c r="E270" s="120" t="s">
        <v>245</v>
      </c>
      <c r="F270" s="120" t="s">
        <v>246</v>
      </c>
      <c r="G270" s="120" t="s">
        <v>247</v>
      </c>
      <c r="H270" s="120" t="s">
        <v>248</v>
      </c>
      <c r="I270" s="130" t="s">
        <v>249</v>
      </c>
    </row>
    <row r="271" spans="2:10" ht="13.5">
      <c r="B271" s="472">
        <v>1.05</v>
      </c>
      <c r="C271" s="473">
        <v>282.334259259259</v>
      </c>
      <c r="D271" s="474">
        <v>38648.42304526745</v>
      </c>
      <c r="E271" s="474">
        <v>8603.494313333067</v>
      </c>
      <c r="F271" s="474">
        <f aca="true" t="shared" si="13" ref="F271:F278">D271-E271</f>
        <v>30044.928731934386</v>
      </c>
      <c r="G271" s="475">
        <f aca="true" t="shared" si="14" ref="G271:G278">F271/D271</f>
        <v>0.7773908057450076</v>
      </c>
      <c r="H271" s="476">
        <v>2258.674074074072</v>
      </c>
      <c r="I271" s="477">
        <v>736.2908874280752</v>
      </c>
      <c r="J271"/>
    </row>
    <row r="272" spans="2:10" ht="13.5">
      <c r="B272" s="472">
        <v>1.1</v>
      </c>
      <c r="C272" s="473">
        <v>134.7504419191918</v>
      </c>
      <c r="D272" s="474">
        <v>18445.83827160492</v>
      </c>
      <c r="E272" s="474">
        <v>4666.736378927081</v>
      </c>
      <c r="F272" s="474">
        <f t="shared" si="13"/>
        <v>13779.101892677838</v>
      </c>
      <c r="G272" s="475">
        <f t="shared" si="14"/>
        <v>0.7470032909205897</v>
      </c>
      <c r="H272" s="476">
        <v>1078.0035353535343</v>
      </c>
      <c r="I272" s="477">
        <v>682.241811513243</v>
      </c>
      <c r="J272"/>
    </row>
    <row r="273" spans="2:11" ht="13.5">
      <c r="B273" s="472">
        <v>1.25</v>
      </c>
      <c r="C273" s="473">
        <v>47.43215555555555</v>
      </c>
      <c r="D273" s="474">
        <v>6492.935071604938</v>
      </c>
      <c r="E273" s="474">
        <v>2303.6446898124245</v>
      </c>
      <c r="F273" s="474">
        <f t="shared" si="13"/>
        <v>4189.290381792513</v>
      </c>
      <c r="G273" s="475">
        <f t="shared" si="14"/>
        <v>0.6452074963929979</v>
      </c>
      <c r="H273" s="476">
        <v>379.4572444444444</v>
      </c>
      <c r="I273" s="477">
        <v>616.3632591963113</v>
      </c>
      <c r="J273"/>
      <c r="K273"/>
    </row>
    <row r="274" spans="2:11" ht="13.5">
      <c r="B274" s="472">
        <v>1.5</v>
      </c>
      <c r="C274" s="473">
        <v>19.76339814814815</v>
      </c>
      <c r="D274" s="474">
        <v>2705.3896131687243</v>
      </c>
      <c r="E274" s="474">
        <v>1504.1327333847917</v>
      </c>
      <c r="F274" s="474">
        <f t="shared" si="13"/>
        <v>1201.2568797839326</v>
      </c>
      <c r="G274" s="475">
        <f t="shared" si="14"/>
        <v>0.4440236163903003</v>
      </c>
      <c r="H274" s="476">
        <v>158.1071851851852</v>
      </c>
      <c r="I274" s="477">
        <v>544.774807021455</v>
      </c>
      <c r="J274"/>
      <c r="K274"/>
    </row>
    <row r="275" spans="2:11" ht="13.5">
      <c r="B275" s="472">
        <v>2</v>
      </c>
      <c r="C275" s="473">
        <v>7.411274305555556</v>
      </c>
      <c r="D275" s="474">
        <v>1014.5211049382716</v>
      </c>
      <c r="E275" s="474">
        <v>1014.5177764635489</v>
      </c>
      <c r="F275" s="474">
        <f t="shared" si="13"/>
        <v>0.003328474722707142</v>
      </c>
      <c r="G275" s="475">
        <f t="shared" si="14"/>
        <v>3.280833396669124E-06</v>
      </c>
      <c r="H275" s="476">
        <v>59.290194444444445</v>
      </c>
      <c r="I275" s="477">
        <v>380.12570021305964</v>
      </c>
      <c r="J275"/>
      <c r="K275"/>
    </row>
    <row r="276" spans="2:11" ht="13.5">
      <c r="B276" s="472">
        <v>2.5</v>
      </c>
      <c r="C276" s="473">
        <v>3.9526796296296296</v>
      </c>
      <c r="D276" s="474">
        <v>541.0779226337448</v>
      </c>
      <c r="E276" s="474">
        <v>760.2759857988451</v>
      </c>
      <c r="F276" s="474">
        <f t="shared" si="13"/>
        <v>-219.19806316510028</v>
      </c>
      <c r="G276" s="475">
        <f t="shared" si="14"/>
        <v>-0.4051136703159764</v>
      </c>
      <c r="H276" s="476">
        <v>31.621437037037037</v>
      </c>
      <c r="I276" s="477">
        <v>216.87434757995285</v>
      </c>
      <c r="J276"/>
      <c r="K276"/>
    </row>
    <row r="277" spans="2:11" ht="13.5">
      <c r="B277" s="472">
        <v>3</v>
      </c>
      <c r="C277" s="473">
        <v>2.4704247685185186</v>
      </c>
      <c r="D277" s="474">
        <v>338.17370164609054</v>
      </c>
      <c r="E277" s="474">
        <v>605.258328039716</v>
      </c>
      <c r="F277" s="474">
        <f t="shared" si="13"/>
        <v>-267.0846263936255</v>
      </c>
      <c r="G277" s="475">
        <f t="shared" si="14"/>
        <v>-0.789785323617914</v>
      </c>
      <c r="H277" s="476">
        <v>19.76339814814815</v>
      </c>
      <c r="I277" s="477">
        <v>100.85259183436531</v>
      </c>
      <c r="J277"/>
      <c r="K277"/>
    </row>
    <row r="278" spans="2:11" ht="15" thickBot="1">
      <c r="B278" s="478">
        <v>3.5</v>
      </c>
      <c r="C278" s="479">
        <v>1.6940055555555555</v>
      </c>
      <c r="D278" s="480">
        <v>231.89053827160492</v>
      </c>
      <c r="E278" s="480">
        <v>521.043741425996</v>
      </c>
      <c r="F278" s="481">
        <f t="shared" si="13"/>
        <v>-289.1532031543911</v>
      </c>
      <c r="G278" s="482">
        <f t="shared" si="14"/>
        <v>-1.2469383412949628</v>
      </c>
      <c r="H278" s="483">
        <v>13.552044444444444</v>
      </c>
      <c r="I278" s="484">
        <v>37.064430084881394</v>
      </c>
      <c r="J278"/>
      <c r="K278"/>
    </row>
    <row r="279" spans="2:11" ht="12.75">
      <c r="B279"/>
      <c r="C279"/>
      <c r="D279"/>
      <c r="E279"/>
      <c r="F279"/>
      <c r="G279"/>
      <c r="H279"/>
      <c r="I279"/>
      <c r="J279"/>
      <c r="K279"/>
    </row>
    <row r="280" spans="2:11" ht="12.75">
      <c r="B280"/>
      <c r="C280"/>
      <c r="D280"/>
      <c r="E280"/>
      <c r="F280"/>
      <c r="G280"/>
      <c r="H280"/>
      <c r="I280"/>
      <c r="J280"/>
      <c r="K280"/>
    </row>
    <row r="281" spans="2:11" ht="13.5">
      <c r="B281" s="90"/>
      <c r="C281"/>
      <c r="D281"/>
      <c r="E281"/>
      <c r="F281"/>
      <c r="G281"/>
      <c r="H281"/>
      <c r="I281"/>
      <c r="J281"/>
      <c r="K281"/>
    </row>
    <row r="282" spans="2:11" ht="13.5">
      <c r="B282" s="90"/>
      <c r="C282"/>
      <c r="D282"/>
      <c r="E282"/>
      <c r="F282" s="250"/>
      <c r="G282"/>
      <c r="H282"/>
      <c r="I282"/>
      <c r="J282"/>
      <c r="K282"/>
    </row>
    <row r="283" spans="2:11" ht="13.5">
      <c r="B283" s="90"/>
      <c r="C283"/>
      <c r="D283"/>
      <c r="E283"/>
      <c r="F283"/>
      <c r="G283"/>
      <c r="H283"/>
      <c r="I283"/>
      <c r="J283"/>
      <c r="K283"/>
    </row>
    <row r="284" spans="2:11" ht="13.5">
      <c r="B284" s="90"/>
      <c r="C284"/>
      <c r="D284"/>
      <c r="E284"/>
      <c r="F284"/>
      <c r="G284"/>
      <c r="H284"/>
      <c r="I284"/>
      <c r="J284"/>
      <c r="K284"/>
    </row>
    <row r="285" spans="2:9" ht="13.5">
      <c r="B285" s="90"/>
      <c r="C285" s="17"/>
      <c r="D285" s="17"/>
      <c r="E285" s="184"/>
      <c r="F285" s="184"/>
      <c r="G285" s="185"/>
      <c r="H285" s="185"/>
      <c r="I285" s="186"/>
    </row>
    <row r="286" spans="2:8" ht="13.5">
      <c r="B286" s="90"/>
      <c r="C286" s="17"/>
      <c r="D286" s="17"/>
      <c r="E286" s="184"/>
      <c r="F286" s="184"/>
      <c r="G286"/>
      <c r="H286" s="186"/>
    </row>
    <row r="287" spans="2:9" ht="13.5">
      <c r="B287" s="90"/>
      <c r="C287" s="17"/>
      <c r="D287" s="17"/>
      <c r="E287" s="184"/>
      <c r="F287" s="184"/>
      <c r="G287" s="185"/>
      <c r="H287" s="185"/>
      <c r="I287" s="186"/>
    </row>
    <row r="288" spans="2:9" ht="13.5">
      <c r="B288" s="90"/>
      <c r="D288" s="17"/>
      <c r="E288" s="184"/>
      <c r="F288" s="184"/>
      <c r="G288" s="185"/>
      <c r="H288" s="185"/>
      <c r="I288" s="186"/>
    </row>
    <row r="289" spans="2:9" ht="13.5">
      <c r="B289" s="90"/>
      <c r="D289" s="17"/>
      <c r="E289" s="184"/>
      <c r="F289" s="184"/>
      <c r="G289" s="185"/>
      <c r="H289" s="185"/>
      <c r="I289" s="186"/>
    </row>
    <row r="290" spans="2:9" ht="13.5">
      <c r="B290" s="90"/>
      <c r="D290" s="17"/>
      <c r="E290" s="184"/>
      <c r="F290" s="184"/>
      <c r="G290" s="185"/>
      <c r="H290" s="185"/>
      <c r="I290" s="186"/>
    </row>
    <row r="291" spans="2:9" ht="13.5">
      <c r="B291" s="90"/>
      <c r="D291" s="17"/>
      <c r="E291" s="184"/>
      <c r="F291" s="184"/>
      <c r="G291" s="185"/>
      <c r="H291" s="185"/>
      <c r="I291" s="186"/>
    </row>
    <row r="292" spans="2:9" ht="13.5">
      <c r="B292" s="90"/>
      <c r="D292" s="17"/>
      <c r="E292" s="184"/>
      <c r="F292" s="184"/>
      <c r="G292" s="185"/>
      <c r="H292" s="185"/>
      <c r="I292" s="186"/>
    </row>
    <row r="293" spans="2:9" ht="13.5">
      <c r="B293" s="90"/>
      <c r="D293" s="17"/>
      <c r="E293" s="184"/>
      <c r="F293" s="184"/>
      <c r="G293" s="185"/>
      <c r="H293" s="185"/>
      <c r="I293" s="186"/>
    </row>
    <row r="294" spans="2:9" ht="13.5">
      <c r="B294" s="92" t="s">
        <v>250</v>
      </c>
      <c r="D294" s="17"/>
      <c r="E294" s="184"/>
      <c r="F294" s="184"/>
      <c r="G294" s="185"/>
      <c r="H294" s="185"/>
      <c r="I294" s="186"/>
    </row>
    <row r="295" spans="2:9" ht="13.5">
      <c r="B295" s="92"/>
      <c r="D295" s="17"/>
      <c r="E295" s="184"/>
      <c r="F295" s="184"/>
      <c r="G295" s="185"/>
      <c r="H295" s="185"/>
      <c r="I295" s="186"/>
    </row>
    <row r="296" spans="2:9" ht="13.5">
      <c r="B296" s="91" t="s">
        <v>251</v>
      </c>
      <c r="D296" s="17"/>
      <c r="E296" s="184"/>
      <c r="F296" s="184"/>
      <c r="G296" s="185"/>
      <c r="H296" s="185"/>
      <c r="I296" s="186"/>
    </row>
    <row r="297" spans="2:5" ht="13.5">
      <c r="B297" s="91" t="s">
        <v>252</v>
      </c>
      <c r="C297" s="91"/>
      <c r="D297" s="90"/>
      <c r="E297" s="90"/>
    </row>
    <row r="298" spans="2:5" ht="13.5">
      <c r="B298" s="91" t="s">
        <v>102</v>
      </c>
      <c r="C298"/>
      <c r="D298" s="90"/>
      <c r="E298" s="90"/>
    </row>
    <row r="299" spans="2:5" ht="13.5">
      <c r="B299" s="91" t="s">
        <v>103</v>
      </c>
      <c r="C299"/>
      <c r="D299" s="90"/>
      <c r="E299" s="90"/>
    </row>
    <row r="300" spans="2:5" ht="13.5">
      <c r="B300" s="91" t="s">
        <v>104</v>
      </c>
      <c r="C300"/>
      <c r="D300" s="90"/>
      <c r="E300" s="90"/>
    </row>
    <row r="301" spans="2:5" ht="13.5">
      <c r="B301" s="91"/>
      <c r="C301"/>
      <c r="D301" s="90"/>
      <c r="E301" s="90"/>
    </row>
    <row r="302" spans="2:5" ht="13.5">
      <c r="B302" s="94" t="s">
        <v>105</v>
      </c>
      <c r="C302"/>
      <c r="D302" s="90"/>
      <c r="E302" s="90"/>
    </row>
    <row r="303" spans="2:19" ht="9.75" customHeight="1">
      <c r="B303" s="91" t="s">
        <v>106</v>
      </c>
      <c r="C303"/>
      <c r="D303" s="90"/>
      <c r="E303" s="90"/>
      <c r="Q303" s="1" t="s">
        <v>55</v>
      </c>
      <c r="R303" s="1" t="s">
        <v>56</v>
      </c>
      <c r="S303" s="1" t="s">
        <v>57</v>
      </c>
    </row>
    <row r="304" spans="2:19" ht="13.5">
      <c r="B304" s="91" t="s">
        <v>107</v>
      </c>
      <c r="C304"/>
      <c r="D304" s="90"/>
      <c r="E304" s="90"/>
      <c r="P304" s="1">
        <v>0</v>
      </c>
      <c r="S304" s="93">
        <f aca="true" t="shared" si="15" ref="S304:S320">$C$347</f>
        <v>140.13333333333333</v>
      </c>
    </row>
    <row r="305" spans="2:19" ht="13.5">
      <c r="B305" s="91" t="s">
        <v>108</v>
      </c>
      <c r="C305"/>
      <c r="D305" s="90"/>
      <c r="E305" s="90"/>
      <c r="P305" s="1">
        <f aca="true" t="shared" si="16" ref="P305:P320">P304+$Q$10</f>
        <v>1</v>
      </c>
      <c r="Q305" s="93">
        <f aca="true" t="shared" si="17" ref="Q305:Q320">($D$338+$E$338*P305+$G$338*(P305^2))/P305</f>
        <v>500.91259023694784</v>
      </c>
      <c r="R305" s="13">
        <f aca="true" t="shared" si="18" ref="R305:R320">$D$342+$F$342*P305</f>
        <v>37.553</v>
      </c>
      <c r="S305" s="93">
        <f t="shared" si="15"/>
        <v>140.13333333333333</v>
      </c>
    </row>
    <row r="306" spans="2:19" ht="13.5">
      <c r="B306" s="91" t="s">
        <v>109</v>
      </c>
      <c r="C306"/>
      <c r="D306" s="90"/>
      <c r="E306" s="90"/>
      <c r="P306" s="1">
        <f t="shared" si="16"/>
        <v>2</v>
      </c>
      <c r="Q306" s="93">
        <f t="shared" si="17"/>
        <v>273.2327951184739</v>
      </c>
      <c r="R306" s="13">
        <f t="shared" si="18"/>
        <v>53.553</v>
      </c>
      <c r="S306" s="93">
        <f t="shared" si="15"/>
        <v>140.13333333333333</v>
      </c>
    </row>
    <row r="307" spans="2:19" ht="13.5">
      <c r="B307" s="91" t="s">
        <v>110</v>
      </c>
      <c r="C307"/>
      <c r="D307" s="90"/>
      <c r="E307" s="90"/>
      <c r="P307" s="1">
        <f t="shared" si="16"/>
        <v>3</v>
      </c>
      <c r="Q307" s="93">
        <f t="shared" si="17"/>
        <v>202.67286341231593</v>
      </c>
      <c r="R307" s="13">
        <f t="shared" si="18"/>
        <v>69.553</v>
      </c>
      <c r="S307" s="93">
        <f t="shared" si="15"/>
        <v>140.13333333333333</v>
      </c>
    </row>
    <row r="308" spans="2:19" ht="13.5">
      <c r="B308" s="91" t="s">
        <v>111</v>
      </c>
      <c r="C308"/>
      <c r="D308" s="90"/>
      <c r="E308" s="90"/>
      <c r="P308" s="1">
        <f t="shared" si="16"/>
        <v>4</v>
      </c>
      <c r="Q308" s="93">
        <f t="shared" si="17"/>
        <v>171.39289755923696</v>
      </c>
      <c r="R308" s="13">
        <f t="shared" si="18"/>
        <v>85.553</v>
      </c>
      <c r="S308" s="93">
        <f t="shared" si="15"/>
        <v>140.13333333333333</v>
      </c>
    </row>
    <row r="309" spans="2:19" ht="13.5">
      <c r="B309"/>
      <c r="C309"/>
      <c r="D309" s="90"/>
      <c r="E309" s="90"/>
      <c r="P309" s="1">
        <f t="shared" si="16"/>
        <v>5</v>
      </c>
      <c r="Q309" s="93">
        <f t="shared" si="17"/>
        <v>155.82491804738956</v>
      </c>
      <c r="R309" s="13">
        <f t="shared" si="18"/>
        <v>101.553</v>
      </c>
      <c r="S309" s="93">
        <f t="shared" si="15"/>
        <v>140.13333333333333</v>
      </c>
    </row>
    <row r="310" spans="2:19" ht="13.5">
      <c r="B310"/>
      <c r="C310"/>
      <c r="D310" s="90"/>
      <c r="E310" s="90"/>
      <c r="P310" s="1">
        <f t="shared" si="16"/>
        <v>6</v>
      </c>
      <c r="Q310" s="93">
        <f t="shared" si="17"/>
        <v>148.11293170615798</v>
      </c>
      <c r="R310" s="13">
        <f t="shared" si="18"/>
        <v>117.553</v>
      </c>
      <c r="S310" s="93">
        <f t="shared" si="15"/>
        <v>140.13333333333333</v>
      </c>
    </row>
    <row r="311" spans="2:19" ht="15" thickBot="1">
      <c r="B311" s="90"/>
      <c r="C311" s="91"/>
      <c r="D311" s="90"/>
      <c r="E311" s="90"/>
      <c r="P311" s="1">
        <f t="shared" si="16"/>
        <v>7</v>
      </c>
      <c r="Q311" s="93">
        <f t="shared" si="17"/>
        <v>144.89008431956398</v>
      </c>
      <c r="R311" s="13">
        <f t="shared" si="18"/>
        <v>133.553</v>
      </c>
      <c r="S311" s="93">
        <f t="shared" si="15"/>
        <v>140.13333333333333</v>
      </c>
    </row>
    <row r="312" spans="2:19" ht="15" thickBot="1">
      <c r="B312" s="90"/>
      <c r="C312" s="251"/>
      <c r="D312" s="440" t="s">
        <v>14</v>
      </c>
      <c r="E312" s="441">
        <f>((C347-E347)/G347)^(1/H346)</f>
        <v>7.411270833333333</v>
      </c>
      <c r="F312" s="90" t="s">
        <v>112</v>
      </c>
      <c r="G312" s="90"/>
      <c r="H312" s="90"/>
      <c r="P312" s="1">
        <f t="shared" si="16"/>
        <v>8</v>
      </c>
      <c r="Q312" s="93">
        <f t="shared" si="17"/>
        <v>144.4729487796185</v>
      </c>
      <c r="R312" s="13">
        <f t="shared" si="18"/>
        <v>149.553</v>
      </c>
      <c r="S312" s="93">
        <f t="shared" si="15"/>
        <v>140.13333333333333</v>
      </c>
    </row>
    <row r="313" spans="2:19" ht="15" thickBot="1">
      <c r="B313" s="90"/>
      <c r="C313" s="253"/>
      <c r="D313" s="298" t="s">
        <v>113</v>
      </c>
      <c r="E313" s="442">
        <f>F318</f>
        <v>1.4822541666666667</v>
      </c>
      <c r="F313" s="90" t="s">
        <v>281</v>
      </c>
      <c r="G313" s="90"/>
      <c r="H313" s="485">
        <f>G30</f>
        <v>0.2</v>
      </c>
      <c r="I313"/>
      <c r="P313" s="1">
        <f t="shared" si="16"/>
        <v>9</v>
      </c>
      <c r="Q313" s="93">
        <f t="shared" si="17"/>
        <v>145.9262878041053</v>
      </c>
      <c r="R313" s="13">
        <f t="shared" si="18"/>
        <v>165.553</v>
      </c>
      <c r="S313" s="93">
        <f t="shared" si="15"/>
        <v>140.13333333333333</v>
      </c>
    </row>
    <row r="314" spans="2:19" ht="15" thickBot="1">
      <c r="B314" s="90"/>
      <c r="C314" s="252"/>
      <c r="D314" s="467" t="s">
        <v>282</v>
      </c>
      <c r="E314" s="446">
        <f>SUM(E312:E313)</f>
        <v>8.893525</v>
      </c>
      <c r="F314" s="90" t="s">
        <v>283</v>
      </c>
      <c r="G314" s="90"/>
      <c r="H314" s="90"/>
      <c r="J314"/>
      <c r="K314"/>
      <c r="P314" s="1">
        <f t="shared" si="16"/>
        <v>10</v>
      </c>
      <c r="Q314" s="93">
        <f t="shared" si="17"/>
        <v>148.68895902369476</v>
      </c>
      <c r="R314" s="13">
        <f t="shared" si="18"/>
        <v>181.553</v>
      </c>
      <c r="S314" s="93">
        <f t="shared" si="15"/>
        <v>140.13333333333333</v>
      </c>
    </row>
    <row r="315" spans="2:19" ht="13.5">
      <c r="B315" s="90"/>
      <c r="C315" s="91"/>
      <c r="D315" s="90"/>
      <c r="E315" s="90"/>
      <c r="P315" s="1">
        <f t="shared" si="16"/>
        <v>11</v>
      </c>
      <c r="Q315" s="93">
        <f t="shared" si="17"/>
        <v>152.40387183972254</v>
      </c>
      <c r="R315" s="13">
        <f t="shared" si="18"/>
        <v>197.553</v>
      </c>
      <c r="S315" s="93">
        <f t="shared" si="15"/>
        <v>140.13333333333333</v>
      </c>
    </row>
    <row r="316" spans="2:19" ht="13.5">
      <c r="B316" s="90"/>
      <c r="C316" s="91" t="s">
        <v>284</v>
      </c>
      <c r="D316" s="90"/>
      <c r="E316" s="90"/>
      <c r="P316" s="1">
        <f t="shared" si="16"/>
        <v>12</v>
      </c>
      <c r="Q316" s="93">
        <f t="shared" si="17"/>
        <v>156.832965853079</v>
      </c>
      <c r="R316" s="13">
        <f t="shared" si="18"/>
        <v>213.553</v>
      </c>
      <c r="S316" s="93">
        <f t="shared" si="15"/>
        <v>140.13333333333333</v>
      </c>
    </row>
    <row r="317" spans="2:19" ht="15" thickBot="1">
      <c r="B317" s="90"/>
      <c r="C317" s="91"/>
      <c r="D317" s="90"/>
      <c r="E317" s="90"/>
      <c r="P317" s="1">
        <f t="shared" si="16"/>
        <v>13</v>
      </c>
      <c r="Q317" s="93">
        <f t="shared" si="17"/>
        <v>161.81143001822676</v>
      </c>
      <c r="R317" s="13">
        <f t="shared" si="18"/>
        <v>229.553</v>
      </c>
      <c r="S317" s="93">
        <f t="shared" si="15"/>
        <v>140.13333333333333</v>
      </c>
    </row>
    <row r="318" spans="2:19" ht="15" thickBot="1">
      <c r="B318" s="94">
        <v>7</v>
      </c>
      <c r="C318" s="91"/>
      <c r="D318" s="90"/>
      <c r="E318" s="100" t="s">
        <v>285</v>
      </c>
      <c r="F318" s="486">
        <f>$G$30*E197</f>
        <v>1.4822541666666667</v>
      </c>
      <c r="G318"/>
      <c r="H318"/>
      <c r="I318"/>
      <c r="J318"/>
      <c r="K318" s="90"/>
      <c r="P318" s="1">
        <f t="shared" si="16"/>
        <v>14</v>
      </c>
      <c r="Q318" s="93">
        <f t="shared" si="17"/>
        <v>167.22154215978202</v>
      </c>
      <c r="R318" s="13">
        <f t="shared" si="18"/>
        <v>245.553</v>
      </c>
      <c r="S318" s="93">
        <f t="shared" si="15"/>
        <v>140.13333333333333</v>
      </c>
    </row>
    <row r="319" spans="2:19" ht="15" thickBot="1">
      <c r="B319" s="31"/>
      <c r="C319" s="91"/>
      <c r="D319" s="90"/>
      <c r="E319" s="5"/>
      <c r="G319" s="90"/>
      <c r="I319"/>
      <c r="P319" s="1">
        <f t="shared" si="16"/>
        <v>15</v>
      </c>
      <c r="Q319" s="93">
        <f t="shared" si="17"/>
        <v>172.9769726824632</v>
      </c>
      <c r="R319" s="13">
        <f t="shared" si="18"/>
        <v>261.553</v>
      </c>
      <c r="S319" s="93">
        <f t="shared" si="15"/>
        <v>140.13333333333333</v>
      </c>
    </row>
    <row r="320" spans="2:19" ht="15" thickBot="1">
      <c r="B320" s="94">
        <v>8</v>
      </c>
      <c r="C320" s="91"/>
      <c r="D320" s="90"/>
      <c r="E320" s="100" t="s">
        <v>286</v>
      </c>
      <c r="F320" s="487">
        <f>$G$28*F318</f>
        <v>2.301940720833333</v>
      </c>
      <c r="G320" s="142" t="s">
        <v>287</v>
      </c>
      <c r="H320" s="487">
        <f>G28</f>
        <v>1.553</v>
      </c>
      <c r="I320"/>
      <c r="J320"/>
      <c r="P320" s="1">
        <f t="shared" si="16"/>
        <v>16</v>
      </c>
      <c r="Q320" s="93">
        <f t="shared" si="17"/>
        <v>179.01297438980924</v>
      </c>
      <c r="R320" s="13">
        <f t="shared" si="18"/>
        <v>277.553</v>
      </c>
      <c r="S320" s="93">
        <f t="shared" si="15"/>
        <v>140.13333333333333</v>
      </c>
    </row>
    <row r="321" spans="2:10" ht="13.5">
      <c r="B321" s="90" t="s">
        <v>288</v>
      </c>
      <c r="C321" s="91"/>
      <c r="D321" s="90"/>
      <c r="E321" s="100"/>
      <c r="F321" s="140"/>
      <c r="G321" s="142"/>
      <c r="H321" s="140"/>
      <c r="I321"/>
      <c r="J321" s="90"/>
    </row>
    <row r="322" spans="2:9" ht="15" thickBot="1">
      <c r="B322" s="94"/>
      <c r="C322" s="91"/>
      <c r="D322" s="90"/>
      <c r="E322" s="100"/>
      <c r="F322" s="138"/>
      <c r="G322" s="84"/>
      <c r="H322" s="90"/>
      <c r="I322"/>
    </row>
    <row r="323" spans="2:10" ht="15" thickBot="1">
      <c r="B323" s="94">
        <v>9</v>
      </c>
      <c r="C323" s="91"/>
      <c r="D323" s="90"/>
      <c r="E323" s="100" t="s">
        <v>289</v>
      </c>
      <c r="F323" s="487">
        <f>$G$29*F318</f>
        <v>29.645083333333332</v>
      </c>
      <c r="G323" s="142" t="s">
        <v>290</v>
      </c>
      <c r="H323" s="487">
        <f>G29</f>
        <v>20</v>
      </c>
      <c r="I323"/>
      <c r="J323"/>
    </row>
    <row r="324" spans="2:10" ht="13.5">
      <c r="B324" s="90" t="s">
        <v>291</v>
      </c>
      <c r="C324" s="91"/>
      <c r="D324" s="90"/>
      <c r="E324" s="100"/>
      <c r="F324" s="140"/>
      <c r="G324" s="142"/>
      <c r="H324" s="140"/>
      <c r="I324"/>
      <c r="J324" s="90"/>
    </row>
    <row r="325" spans="2:9" ht="15" thickBot="1">
      <c r="B325" s="94"/>
      <c r="C325" s="91"/>
      <c r="D325" s="90"/>
      <c r="E325" s="100"/>
      <c r="I325"/>
    </row>
    <row r="326" spans="2:9" ht="15" thickBot="1">
      <c r="B326" s="94">
        <v>10</v>
      </c>
      <c r="C326" s="91"/>
      <c r="D326" s="90"/>
      <c r="E326" s="100" t="s">
        <v>292</v>
      </c>
      <c r="F326" s="487">
        <f>F320+F323</f>
        <v>31.947024054166665</v>
      </c>
      <c r="I326"/>
    </row>
    <row r="327" spans="2:9" ht="13.5">
      <c r="B327" s="90"/>
      <c r="C327" s="91"/>
      <c r="D327" s="90"/>
      <c r="E327" s="5"/>
      <c r="F327" s="140"/>
      <c r="I327"/>
    </row>
    <row r="328" spans="2:9" ht="13.5">
      <c r="B328" s="90" t="s">
        <v>293</v>
      </c>
      <c r="C328" s="91"/>
      <c r="D328" s="90"/>
      <c r="E328" s="5"/>
      <c r="F328" s="140"/>
      <c r="I328"/>
    </row>
    <row r="329" spans="2:9" ht="13.5">
      <c r="B329" s="90" t="s">
        <v>294</v>
      </c>
      <c r="C329" s="91"/>
      <c r="D329" s="90"/>
      <c r="E329" s="5"/>
      <c r="F329" s="140"/>
      <c r="I329"/>
    </row>
    <row r="330" spans="2:9" ht="13.5">
      <c r="B330" s="90" t="s">
        <v>295</v>
      </c>
      <c r="C330" s="91"/>
      <c r="D330" s="90"/>
      <c r="E330" s="5"/>
      <c r="F330" s="140"/>
      <c r="I330"/>
    </row>
    <row r="331" spans="2:7" ht="15" thickBot="1">
      <c r="B331" s="90"/>
      <c r="C331" s="90"/>
      <c r="D331" s="91"/>
      <c r="E331" s="90"/>
      <c r="F331" s="5"/>
      <c r="G331" s="140"/>
    </row>
    <row r="332" spans="2:7" ht="13.5">
      <c r="B332" s="90"/>
      <c r="C332" s="90"/>
      <c r="D332" s="100" t="s">
        <v>296</v>
      </c>
      <c r="E332" s="492">
        <f>G17</f>
        <v>439.4125661827812</v>
      </c>
      <c r="G332"/>
    </row>
    <row r="333" spans="2:8" ht="13.5">
      <c r="B333" s="90"/>
      <c r="C333" s="90"/>
      <c r="D333" s="100" t="s">
        <v>297</v>
      </c>
      <c r="E333" s="493">
        <f>F326</f>
        <v>31.947024054166665</v>
      </c>
      <c r="G333"/>
      <c r="H333"/>
    </row>
    <row r="334" spans="2:8" ht="15" thickBot="1">
      <c r="B334" s="90"/>
      <c r="C334" s="90"/>
      <c r="D334" s="100" t="s">
        <v>298</v>
      </c>
      <c r="E334" s="494">
        <f>SUM(E332:E333)</f>
        <v>471.35959023694784</v>
      </c>
      <c r="F334" s="90" t="s">
        <v>299</v>
      </c>
      <c r="G334"/>
      <c r="H334"/>
    </row>
    <row r="335" spans="2:8" ht="13.5">
      <c r="B335" s="90"/>
      <c r="C335" s="90"/>
      <c r="D335" s="91"/>
      <c r="E335"/>
      <c r="F335"/>
      <c r="G335"/>
      <c r="H335"/>
    </row>
    <row r="336" spans="2:8" ht="15" thickBot="1">
      <c r="B336" s="94" t="s">
        <v>300</v>
      </c>
      <c r="C336" s="114" t="s">
        <v>301</v>
      </c>
      <c r="D336" s="90"/>
      <c r="E336"/>
      <c r="F336" s="140"/>
      <c r="G336" s="90"/>
      <c r="H336"/>
    </row>
    <row r="337" spans="2:12" ht="13.5">
      <c r="B337" s="90"/>
      <c r="C337" s="491"/>
      <c r="D337" s="187"/>
      <c r="E337" s="187"/>
      <c r="F337" s="187"/>
      <c r="G337" s="187"/>
      <c r="H337" s="269">
        <f>G32</f>
        <v>2</v>
      </c>
      <c r="I337"/>
      <c r="J337"/>
      <c r="K337"/>
      <c r="L337"/>
    </row>
    <row r="338" spans="2:12" ht="15" thickBot="1">
      <c r="B338"/>
      <c r="C338" s="102" t="s">
        <v>23</v>
      </c>
      <c r="D338" s="206">
        <f>D175+F326</f>
        <v>471.35959023694784</v>
      </c>
      <c r="E338" s="206">
        <f>E175</f>
        <v>21.553</v>
      </c>
      <c r="F338" s="128" t="s">
        <v>24</v>
      </c>
      <c r="G338" s="206">
        <f>G175</f>
        <v>8</v>
      </c>
      <c r="H338" s="272" t="s">
        <v>25</v>
      </c>
      <c r="I338"/>
      <c r="J338"/>
      <c r="K338"/>
      <c r="L338"/>
    </row>
    <row r="339" spans="2:9" ht="13.5">
      <c r="B339" s="94"/>
      <c r="C339" s="90"/>
      <c r="D339" s="90"/>
      <c r="I339"/>
    </row>
    <row r="340" spans="2:9" ht="15" thickBot="1">
      <c r="B340" s="94" t="s">
        <v>302</v>
      </c>
      <c r="C340" s="114" t="s">
        <v>116</v>
      </c>
      <c r="D340" s="90"/>
      <c r="E340"/>
      <c r="I340"/>
    </row>
    <row r="341" spans="2:11" ht="13.5">
      <c r="B341" s="94"/>
      <c r="C341" s="254"/>
      <c r="D341" s="187"/>
      <c r="E341" s="187"/>
      <c r="F341" s="187"/>
      <c r="G341" s="269">
        <f>H337-1</f>
        <v>1</v>
      </c>
      <c r="H341"/>
      <c r="I341"/>
      <c r="J341"/>
      <c r="K341"/>
    </row>
    <row r="342" spans="2:11" ht="15" thickBot="1">
      <c r="B342"/>
      <c r="C342" s="102" t="s">
        <v>117</v>
      </c>
      <c r="D342" s="206">
        <f>E338</f>
        <v>21.553</v>
      </c>
      <c r="E342" s="128" t="s">
        <v>165</v>
      </c>
      <c r="F342" s="206">
        <f>(G338)*H337</f>
        <v>16</v>
      </c>
      <c r="G342" s="272" t="s">
        <v>25</v>
      </c>
      <c r="H342"/>
      <c r="I342"/>
      <c r="J342"/>
      <c r="K342"/>
    </row>
    <row r="343" spans="2:11" ht="13.5">
      <c r="B343" s="94"/>
      <c r="C343"/>
      <c r="D343" s="90"/>
      <c r="E343" s="5"/>
      <c r="F343" s="32"/>
      <c r="G343" s="110"/>
      <c r="H343" s="23"/>
      <c r="I343"/>
      <c r="J343" s="110"/>
      <c r="K343" s="23"/>
    </row>
    <row r="344" spans="2:12" ht="13.5">
      <c r="B344" s="94"/>
      <c r="C344" s="90"/>
      <c r="D344" s="90"/>
      <c r="F344"/>
      <c r="G344"/>
      <c r="H344"/>
      <c r="I344"/>
      <c r="J344"/>
      <c r="K344"/>
      <c r="L344"/>
    </row>
    <row r="345" spans="2:12" ht="15" thickBot="1">
      <c r="B345" s="94" t="s">
        <v>303</v>
      </c>
      <c r="C345" s="114" t="s">
        <v>304</v>
      </c>
      <c r="D345" s="90"/>
      <c r="E345"/>
      <c r="F345"/>
      <c r="G345"/>
      <c r="H345"/>
      <c r="I345"/>
      <c r="J345"/>
      <c r="K345"/>
      <c r="L345"/>
    </row>
    <row r="346" spans="2:12" ht="13.5">
      <c r="B346" s="94"/>
      <c r="C346" s="254"/>
      <c r="D346" s="187"/>
      <c r="E346" s="187"/>
      <c r="F346" s="187"/>
      <c r="G346" s="187"/>
      <c r="H346" s="269">
        <f>G341</f>
        <v>1</v>
      </c>
      <c r="I346"/>
      <c r="J346" s="23"/>
      <c r="K346" s="110"/>
      <c r="L346" s="23"/>
    </row>
    <row r="347" spans="2:12" ht="15" thickBot="1">
      <c r="B347" s="94"/>
      <c r="C347" s="464">
        <f>C183</f>
        <v>140.13333333333333</v>
      </c>
      <c r="D347" s="128" t="s">
        <v>305</v>
      </c>
      <c r="E347" s="206">
        <f>D342</f>
        <v>21.553</v>
      </c>
      <c r="F347" s="128" t="s">
        <v>172</v>
      </c>
      <c r="G347" s="206">
        <f>F342</f>
        <v>16</v>
      </c>
      <c r="H347" s="272" t="s">
        <v>25</v>
      </c>
      <c r="I347"/>
      <c r="J347" s="23"/>
      <c r="K347" s="110"/>
      <c r="L347" s="23"/>
    </row>
    <row r="348" spans="2:12" ht="15" thickBot="1">
      <c r="B348" s="94"/>
      <c r="C348"/>
      <c r="D348" s="90"/>
      <c r="E348" s="5"/>
      <c r="F348" s="111"/>
      <c r="G348" s="23"/>
      <c r="H348" s="110"/>
      <c r="I348"/>
      <c r="J348" s="23"/>
      <c r="K348" s="110"/>
      <c r="L348" s="23"/>
    </row>
    <row r="349" spans="2:10" ht="13.5">
      <c r="B349"/>
      <c r="C349" s="254"/>
      <c r="D349" s="440" t="s">
        <v>125</v>
      </c>
      <c r="E349" s="495">
        <f>C347*E312</f>
        <v>1038.566086111111</v>
      </c>
      <c r="F349"/>
      <c r="G349"/>
      <c r="H349"/>
      <c r="I349"/>
      <c r="J349"/>
    </row>
    <row r="350" spans="2:12" ht="13.5">
      <c r="B350"/>
      <c r="C350" s="257"/>
      <c r="D350" s="298" t="s">
        <v>126</v>
      </c>
      <c r="E350" s="496">
        <f>D338+E338*$E$314+G338*($E$314^2)</f>
        <v>1295.800029966948</v>
      </c>
      <c r="F350"/>
      <c r="G350"/>
      <c r="H350"/>
      <c r="I350"/>
      <c r="J350"/>
      <c r="K350"/>
      <c r="L350"/>
    </row>
    <row r="351" spans="2:12" ht="15" thickBot="1">
      <c r="B351"/>
      <c r="C351" s="256"/>
      <c r="D351" s="467" t="s">
        <v>127</v>
      </c>
      <c r="E351" s="497">
        <f>E349-E350</f>
        <v>-257.23394385583697</v>
      </c>
      <c r="F351"/>
      <c r="G351"/>
      <c r="H351"/>
      <c r="I351"/>
      <c r="J351"/>
      <c r="K351"/>
      <c r="L351"/>
    </row>
    <row r="352" spans="2:12" ht="13.5" thickBot="1">
      <c r="B352" s="5"/>
      <c r="C352" s="1"/>
      <c r="D352"/>
      <c r="E352"/>
      <c r="F352"/>
      <c r="G352"/>
      <c r="H352"/>
      <c r="I352"/>
      <c r="J352"/>
      <c r="K352"/>
      <c r="L352"/>
    </row>
    <row r="353" spans="2:12" ht="15" thickBot="1">
      <c r="B353" s="90" t="s">
        <v>306</v>
      </c>
      <c r="C353"/>
      <c r="E353"/>
      <c r="F353" s="486">
        <f>E312</f>
        <v>7.411270833333333</v>
      </c>
      <c r="G353" s="142" t="s">
        <v>307</v>
      </c>
      <c r="H353" s="487">
        <f>C347</f>
        <v>140.13333333333333</v>
      </c>
      <c r="I353"/>
      <c r="J353"/>
      <c r="K353"/>
      <c r="L353"/>
    </row>
    <row r="354" spans="2:8" ht="13.5">
      <c r="B354" s="90" t="s">
        <v>308</v>
      </c>
      <c r="C354"/>
      <c r="G354" s="90"/>
      <c r="H354"/>
    </row>
    <row r="355" spans="2:8" ht="13.5">
      <c r="B355" s="91" t="s">
        <v>309</v>
      </c>
      <c r="C355"/>
      <c r="H355"/>
    </row>
    <row r="356" spans="2:8" ht="13.5">
      <c r="B356" s="91"/>
      <c r="C356" s="90" t="s">
        <v>310</v>
      </c>
      <c r="H356"/>
    </row>
    <row r="357" spans="2:8" ht="13.5">
      <c r="B357" s="90"/>
      <c r="C357" s="91"/>
      <c r="D357" s="90"/>
      <c r="E357" s="90"/>
      <c r="F357" s="5"/>
      <c r="H357" s="90"/>
    </row>
    <row r="358" spans="2:8" ht="13.5">
      <c r="B358" s="90"/>
      <c r="C358" s="91"/>
      <c r="D358" s="90"/>
      <c r="E358" s="90"/>
      <c r="F358" s="5"/>
      <c r="H358" s="90"/>
    </row>
    <row r="359" spans="2:8" ht="13.5">
      <c r="B359" s="90"/>
      <c r="C359" s="91"/>
      <c r="D359" s="90"/>
      <c r="E359" s="90"/>
      <c r="F359" s="5"/>
      <c r="H359" s="90"/>
    </row>
    <row r="360" spans="2:8" ht="13.5">
      <c r="B360" s="90"/>
      <c r="C360" s="91"/>
      <c r="D360" s="90"/>
      <c r="E360" s="90"/>
      <c r="F360" s="5"/>
      <c r="H360" s="90"/>
    </row>
    <row r="361" spans="2:8" ht="13.5">
      <c r="B361" s="90"/>
      <c r="C361" s="91"/>
      <c r="D361" s="90"/>
      <c r="E361" s="90"/>
      <c r="F361" s="5"/>
      <c r="H361" s="90"/>
    </row>
    <row r="362" spans="2:8" ht="13.5">
      <c r="B362" s="90"/>
      <c r="C362" s="91"/>
      <c r="D362" s="90"/>
      <c r="E362" s="90"/>
      <c r="F362" s="5"/>
      <c r="H362" s="90"/>
    </row>
    <row r="363" spans="2:8" ht="13.5">
      <c r="B363" s="90"/>
      <c r="C363" s="91"/>
      <c r="D363" s="90"/>
      <c r="E363" s="90"/>
      <c r="F363" s="5"/>
      <c r="H363" s="90"/>
    </row>
    <row r="364" spans="2:8" ht="13.5">
      <c r="B364" s="90"/>
      <c r="C364" s="91"/>
      <c r="D364" s="90"/>
      <c r="E364" s="90"/>
      <c r="F364" s="5"/>
      <c r="H364" s="90"/>
    </row>
    <row r="365" spans="2:8" ht="13.5">
      <c r="B365" s="90"/>
      <c r="C365" s="91"/>
      <c r="D365" s="90"/>
      <c r="E365" s="90"/>
      <c r="F365" s="5"/>
      <c r="H365" s="90"/>
    </row>
    <row r="366" spans="2:8" ht="13.5">
      <c r="B366" s="90"/>
      <c r="C366" s="91"/>
      <c r="D366" s="90"/>
      <c r="E366" s="90"/>
      <c r="F366" s="5"/>
      <c r="H366" s="90"/>
    </row>
    <row r="367" spans="2:8" ht="13.5">
      <c r="B367" s="90"/>
      <c r="C367" s="91"/>
      <c r="D367" s="90"/>
      <c r="E367" s="90"/>
      <c r="F367" s="5"/>
      <c r="H367" s="90"/>
    </row>
    <row r="368" spans="2:8" ht="13.5">
      <c r="B368" s="90"/>
      <c r="C368" s="91"/>
      <c r="D368" s="90"/>
      <c r="E368" s="90"/>
      <c r="F368" s="5"/>
      <c r="H368" s="90"/>
    </row>
    <row r="369" spans="2:8" ht="13.5">
      <c r="B369" s="90"/>
      <c r="C369" s="91"/>
      <c r="D369" s="90"/>
      <c r="E369" s="90"/>
      <c r="F369" s="5"/>
      <c r="H369" s="90"/>
    </row>
    <row r="370" spans="2:8" ht="13.5">
      <c r="B370" s="90"/>
      <c r="C370" s="91"/>
      <c r="D370" s="90"/>
      <c r="E370" s="90"/>
      <c r="F370" s="5"/>
      <c r="H370" s="90"/>
    </row>
    <row r="371" spans="2:8" ht="13.5">
      <c r="B371" s="90"/>
      <c r="C371" s="91"/>
      <c r="D371" s="90"/>
      <c r="E371" s="90"/>
      <c r="F371" s="5"/>
      <c r="H371" s="90"/>
    </row>
    <row r="372" spans="2:8" ht="13.5">
      <c r="B372" s="90"/>
      <c r="C372" s="91"/>
      <c r="D372" s="90"/>
      <c r="E372" s="90"/>
      <c r="F372" s="5"/>
      <c r="H372" s="90"/>
    </row>
    <row r="373" spans="2:8" ht="13.5">
      <c r="B373" s="90"/>
      <c r="C373" s="91"/>
      <c r="D373" s="90"/>
      <c r="E373" s="90"/>
      <c r="F373" s="5"/>
      <c r="H373" s="90"/>
    </row>
    <row r="374" spans="2:8" ht="13.5">
      <c r="B374" s="90"/>
      <c r="C374" s="91"/>
      <c r="D374" s="90"/>
      <c r="E374" s="90"/>
      <c r="F374" s="5"/>
      <c r="H374" s="90"/>
    </row>
    <row r="375" spans="2:8" ht="13.5">
      <c r="B375" s="90"/>
      <c r="C375" s="91"/>
      <c r="D375" s="90"/>
      <c r="E375" s="90"/>
      <c r="F375" s="5"/>
      <c r="H375" s="90"/>
    </row>
    <row r="376" spans="2:8" ht="13.5">
      <c r="B376" s="90"/>
      <c r="C376" s="91"/>
      <c r="D376" s="90"/>
      <c r="E376" s="90"/>
      <c r="F376" s="5"/>
      <c r="H376" s="90"/>
    </row>
    <row r="377" spans="2:8" ht="13.5">
      <c r="B377" s="90"/>
      <c r="C377" s="91"/>
      <c r="D377" s="90"/>
      <c r="E377" s="90"/>
      <c r="F377" s="5"/>
      <c r="H377" s="90"/>
    </row>
    <row r="378" spans="2:8" ht="13.5">
      <c r="B378" s="90"/>
      <c r="C378" s="91"/>
      <c r="D378" s="90"/>
      <c r="E378" s="90"/>
      <c r="F378" s="5"/>
      <c r="H378" s="90"/>
    </row>
    <row r="379" spans="2:8" ht="13.5">
      <c r="B379" s="90"/>
      <c r="C379" s="91"/>
      <c r="D379" s="90"/>
      <c r="E379" s="90"/>
      <c r="F379" s="5"/>
      <c r="H379" s="90"/>
    </row>
    <row r="380" spans="2:8" ht="13.5">
      <c r="B380" s="90"/>
      <c r="C380" s="91"/>
      <c r="D380" s="90"/>
      <c r="E380" s="90"/>
      <c r="F380" s="5"/>
      <c r="H380" s="90"/>
    </row>
    <row r="381" spans="2:8" ht="13.5">
      <c r="B381" s="94" t="s">
        <v>311</v>
      </c>
      <c r="C381"/>
      <c r="D381" s="90"/>
      <c r="E381" s="90"/>
      <c r="F381" s="5"/>
      <c r="H381" s="90"/>
    </row>
    <row r="382" spans="2:8" ht="13.5">
      <c r="B382" s="91" t="s">
        <v>312</v>
      </c>
      <c r="C382"/>
      <c r="D382" s="90"/>
      <c r="E382" s="90"/>
      <c r="F382" s="5"/>
      <c r="H382" s="90"/>
    </row>
    <row r="383" spans="2:8" ht="13.5">
      <c r="B383" s="91" t="s">
        <v>313</v>
      </c>
      <c r="C383"/>
      <c r="D383" s="90"/>
      <c r="E383" s="90"/>
      <c r="F383" s="5"/>
      <c r="H383" s="90"/>
    </row>
    <row r="384" spans="2:8" ht="13.5">
      <c r="B384" s="91" t="s">
        <v>314</v>
      </c>
      <c r="C384"/>
      <c r="D384" s="90"/>
      <c r="E384" s="90"/>
      <c r="F384" s="5"/>
      <c r="H384" s="90"/>
    </row>
    <row r="385" spans="2:8" ht="13.5">
      <c r="B385" s="91" t="s">
        <v>315</v>
      </c>
      <c r="C385"/>
      <c r="D385" s="90"/>
      <c r="E385" s="90"/>
      <c r="F385" s="5"/>
      <c r="H385" s="90"/>
    </row>
    <row r="386" spans="2:8" ht="13.5">
      <c r="B386" s="90" t="s">
        <v>316</v>
      </c>
      <c r="C386" s="91"/>
      <c r="D386" s="90"/>
      <c r="E386" s="90"/>
      <c r="F386" s="5"/>
      <c r="H386" s="90"/>
    </row>
    <row r="387" spans="2:12" ht="13.5">
      <c r="B387" s="90"/>
      <c r="C387" s="91"/>
      <c r="D387" s="90"/>
      <c r="E387" s="90"/>
      <c r="F387" s="5"/>
      <c r="G387"/>
      <c r="H387"/>
      <c r="I387"/>
      <c r="J387"/>
      <c r="K387"/>
      <c r="L387"/>
    </row>
    <row r="388" spans="2:12" ht="15" thickBot="1">
      <c r="B388" s="94" t="s">
        <v>317</v>
      </c>
      <c r="C388" s="114" t="s">
        <v>318</v>
      </c>
      <c r="D388" s="90"/>
      <c r="E388"/>
      <c r="F388"/>
      <c r="G388"/>
      <c r="H388"/>
      <c r="I388"/>
      <c r="J388"/>
      <c r="K388"/>
      <c r="L388"/>
    </row>
    <row r="389" spans="2:12" ht="13.5">
      <c r="B389" s="90"/>
      <c r="C389" s="254"/>
      <c r="D389" s="187"/>
      <c r="E389" s="187"/>
      <c r="F389" s="187"/>
      <c r="G389" s="187"/>
      <c r="H389" s="269">
        <f>G32</f>
        <v>2</v>
      </c>
      <c r="I389" s="110"/>
      <c r="J389" s="23"/>
      <c r="K389" s="110"/>
      <c r="L389" s="23"/>
    </row>
    <row r="390" spans="2:12" ht="15" thickBot="1">
      <c r="B390" s="90"/>
      <c r="C390" s="102" t="s">
        <v>23</v>
      </c>
      <c r="D390" s="206">
        <f>D175</f>
        <v>439.4125661827812</v>
      </c>
      <c r="E390" s="206">
        <f>E175</f>
        <v>21.553</v>
      </c>
      <c r="F390" s="128" t="s">
        <v>319</v>
      </c>
      <c r="G390" s="206">
        <f>G338</f>
        <v>8</v>
      </c>
      <c r="H390" s="272" t="s">
        <v>25</v>
      </c>
      <c r="I390" s="110"/>
      <c r="J390" s="23"/>
      <c r="K390" s="110"/>
      <c r="L390" s="23"/>
    </row>
    <row r="391" spans="2:8" ht="13.5">
      <c r="B391" s="90"/>
      <c r="C391" s="91"/>
      <c r="D391" s="90"/>
      <c r="E391" s="90"/>
      <c r="F391" s="100"/>
      <c r="G391" s="90"/>
      <c r="H391" s="90"/>
    </row>
    <row r="392" spans="2:12" ht="15.75">
      <c r="B392" s="90"/>
      <c r="C392" s="91"/>
      <c r="D392" s="90"/>
      <c r="E392" s="90"/>
      <c r="F392" s="100"/>
      <c r="G392" s="245"/>
      <c r="H392" s="245"/>
      <c r="I392"/>
      <c r="J392"/>
      <c r="K392"/>
      <c r="L392"/>
    </row>
    <row r="393" spans="2:12" ht="16.5" thickBot="1">
      <c r="B393" s="94" t="s">
        <v>320</v>
      </c>
      <c r="C393" s="114" t="s">
        <v>321</v>
      </c>
      <c r="D393" s="245"/>
      <c r="E393" s="90"/>
      <c r="F393" s="245"/>
      <c r="G393" s="245"/>
      <c r="H393" s="245"/>
      <c r="I393"/>
      <c r="J393"/>
      <c r="K393"/>
      <c r="L393"/>
    </row>
    <row r="394" spans="2:12" ht="13.5">
      <c r="B394" s="90"/>
      <c r="C394" s="498"/>
      <c r="D394" s="205"/>
      <c r="E394" s="205"/>
      <c r="F394" s="205"/>
      <c r="G394" s="404">
        <f>H389-1</f>
        <v>1</v>
      </c>
      <c r="H394" s="363"/>
      <c r="I394" s="23"/>
      <c r="J394" s="214"/>
      <c r="K394" s="23"/>
      <c r="L394" s="23"/>
    </row>
    <row r="395" spans="2:12" ht="15" thickBot="1">
      <c r="B395" s="90"/>
      <c r="C395" s="102" t="s">
        <v>117</v>
      </c>
      <c r="D395" s="206">
        <f>E390</f>
        <v>21.553</v>
      </c>
      <c r="E395" s="128" t="s">
        <v>165</v>
      </c>
      <c r="F395" s="271">
        <f>H389*G390</f>
        <v>16</v>
      </c>
      <c r="G395" s="128" t="s">
        <v>25</v>
      </c>
      <c r="H395" s="272"/>
      <c r="I395" s="23"/>
      <c r="J395" s="214"/>
      <c r="K395" s="23"/>
      <c r="L395" s="23"/>
    </row>
    <row r="396" spans="2:8" ht="13.5">
      <c r="B396" s="90"/>
      <c r="C396" s="91"/>
      <c r="D396" s="90"/>
      <c r="E396" s="90"/>
      <c r="F396" s="100"/>
      <c r="G396" s="90"/>
      <c r="H396" s="90"/>
    </row>
    <row r="397" spans="2:12" ht="15.75">
      <c r="B397" s="90"/>
      <c r="C397" s="91"/>
      <c r="D397" s="90"/>
      <c r="E397" s="90"/>
      <c r="F397" s="100"/>
      <c r="G397" s="245"/>
      <c r="H397" s="245"/>
      <c r="I397"/>
      <c r="J397"/>
      <c r="K397"/>
      <c r="L397"/>
    </row>
    <row r="398" spans="2:12" ht="16.5" thickBot="1">
      <c r="B398" s="94" t="s">
        <v>322</v>
      </c>
      <c r="C398" s="114" t="s">
        <v>323</v>
      </c>
      <c r="D398" s="245"/>
      <c r="E398" s="90"/>
      <c r="F398" s="245"/>
      <c r="G398" s="245"/>
      <c r="H398" s="245"/>
      <c r="I398"/>
      <c r="J398"/>
      <c r="K398"/>
      <c r="L398"/>
    </row>
    <row r="399" spans="2:12" ht="13.5">
      <c r="B399" s="90"/>
      <c r="C399" s="498"/>
      <c r="D399" s="205"/>
      <c r="E399" s="205"/>
      <c r="F399" s="205"/>
      <c r="G399" s="205"/>
      <c r="H399" s="269">
        <f>G394</f>
        <v>1</v>
      </c>
      <c r="I399" s="110"/>
      <c r="J399" s="225"/>
      <c r="K399" s="214"/>
      <c r="L399" s="23"/>
    </row>
    <row r="400" spans="2:12" ht="15" thickBot="1">
      <c r="B400" s="90"/>
      <c r="C400" s="464">
        <f>C347</f>
        <v>140.13333333333333</v>
      </c>
      <c r="D400" s="128" t="s">
        <v>324</v>
      </c>
      <c r="E400" s="206">
        <f>D395</f>
        <v>21.553</v>
      </c>
      <c r="F400" s="270" t="s">
        <v>325</v>
      </c>
      <c r="G400" s="271">
        <f>F395</f>
        <v>16</v>
      </c>
      <c r="H400" s="272" t="s">
        <v>326</v>
      </c>
      <c r="I400" s="110"/>
      <c r="J400" s="225"/>
      <c r="K400" s="214"/>
      <c r="L400" s="23"/>
    </row>
    <row r="401" spans="2:12" ht="15" thickBot="1">
      <c r="B401" s="90"/>
      <c r="C401" s="94"/>
      <c r="D401" s="90"/>
      <c r="E401" s="90"/>
      <c r="F401" s="100"/>
      <c r="G401" s="499"/>
      <c r="H401" s="156"/>
      <c r="I401" s="110"/>
      <c r="J401" s="225"/>
      <c r="K401" s="214"/>
      <c r="L401" s="23"/>
    </row>
    <row r="402" spans="2:9" ht="15" thickBot="1">
      <c r="B402" s="90"/>
      <c r="C402" s="98" t="s">
        <v>14</v>
      </c>
      <c r="D402" s="500">
        <f>((C400-E400)/((G400)*(1+$G$30)))^1/H399</f>
        <v>6.176059027777778</v>
      </c>
      <c r="E402" s="90" t="s">
        <v>327</v>
      </c>
      <c r="F402" s="90"/>
      <c r="G402" s="90"/>
      <c r="H402" s="90"/>
      <c r="I402"/>
    </row>
    <row r="403" spans="2:12" ht="15" thickBot="1">
      <c r="B403" s="90"/>
      <c r="C403" s="98" t="s">
        <v>328</v>
      </c>
      <c r="D403" s="501">
        <f>D402*($G$30)</f>
        <v>1.2352118055555557</v>
      </c>
      <c r="E403" s="90" t="s">
        <v>329</v>
      </c>
      <c r="F403" s="90"/>
      <c r="G403" s="90"/>
      <c r="H403" s="485">
        <f>G30</f>
        <v>0.2</v>
      </c>
      <c r="I403"/>
      <c r="K403"/>
      <c r="L403"/>
    </row>
    <row r="404" spans="2:12" ht="15" thickBot="1">
      <c r="B404" s="90"/>
      <c r="C404" s="98" t="s">
        <v>282</v>
      </c>
      <c r="D404" s="502">
        <f>SUM(D402:D403)</f>
        <v>7.411270833333333</v>
      </c>
      <c r="E404" s="90" t="s">
        <v>330</v>
      </c>
      <c r="F404" s="90"/>
      <c r="G404" s="90"/>
      <c r="H404" s="90"/>
      <c r="I404"/>
      <c r="K404"/>
      <c r="L404"/>
    </row>
    <row r="405" spans="2:12" ht="13.5">
      <c r="B405" s="90"/>
      <c r="C405" s="91"/>
      <c r="D405" s="90"/>
      <c r="E405" s="90"/>
      <c r="F405"/>
      <c r="G405"/>
      <c r="H405"/>
      <c r="I405"/>
      <c r="J405"/>
      <c r="K405"/>
      <c r="L405"/>
    </row>
    <row r="406" spans="2:8" ht="13.5">
      <c r="B406" s="91" t="s">
        <v>331</v>
      </c>
      <c r="C406"/>
      <c r="D406" s="90"/>
      <c r="E406" s="90"/>
      <c r="F406" s="32"/>
      <c r="G406" s="47"/>
      <c r="H406"/>
    </row>
    <row r="407" spans="2:8" ht="13.5">
      <c r="B407" s="90" t="s">
        <v>332</v>
      </c>
      <c r="C407"/>
      <c r="D407" s="90"/>
      <c r="E407" s="90"/>
      <c r="F407" s="32"/>
      <c r="G407" s="47"/>
      <c r="H407"/>
    </row>
    <row r="408" spans="2:8" ht="15" thickBot="1">
      <c r="B408" s="90"/>
      <c r="C408" s="91"/>
      <c r="D408" s="90"/>
      <c r="E408" s="90"/>
      <c r="F408" s="32"/>
      <c r="G408" s="47"/>
      <c r="H408"/>
    </row>
    <row r="409" spans="2:10" ht="15" thickBot="1">
      <c r="B409" s="94" t="s">
        <v>333</v>
      </c>
      <c r="C409" s="259" t="s">
        <v>285</v>
      </c>
      <c r="D409" s="90"/>
      <c r="E409"/>
      <c r="F409" s="486">
        <f>D403</f>
        <v>1.2352118055555557</v>
      </c>
      <c r="G409"/>
      <c r="H409"/>
      <c r="I409"/>
      <c r="J409"/>
    </row>
    <row r="410" spans="2:10" ht="15" thickBot="1">
      <c r="B410"/>
      <c r="C410" s="90" t="s">
        <v>334</v>
      </c>
      <c r="D410"/>
      <c r="E410"/>
      <c r="F410" s="485">
        <f>G30</f>
        <v>0.2</v>
      </c>
      <c r="G410"/>
      <c r="H410" s="90"/>
      <c r="J410" s="258"/>
    </row>
    <row r="411" spans="2:10" ht="13.5">
      <c r="B411" s="90"/>
      <c r="C411" s="94"/>
      <c r="D411" s="90"/>
      <c r="E411" s="90"/>
      <c r="F411" s="98"/>
      <c r="G411" s="47"/>
      <c r="H411" s="90"/>
      <c r="J411" s="258"/>
    </row>
    <row r="412" spans="2:8" ht="15" thickBot="1">
      <c r="B412" s="90"/>
      <c r="C412" s="94"/>
      <c r="D412" s="90"/>
      <c r="E412" s="90"/>
      <c r="F412" s="32"/>
      <c r="G412" s="47"/>
      <c r="H412"/>
    </row>
    <row r="413" spans="2:15" ht="16.5" thickBot="1">
      <c r="B413" s="94" t="s">
        <v>335</v>
      </c>
      <c r="C413" s="259" t="s">
        <v>286</v>
      </c>
      <c r="D413" s="90"/>
      <c r="E413"/>
      <c r="F413" s="443">
        <f>F409*G28</f>
        <v>1.9182839340277777</v>
      </c>
      <c r="G413" s="217" t="s">
        <v>336</v>
      </c>
      <c r="H413" s="487">
        <f>G28</f>
        <v>1.553</v>
      </c>
      <c r="I413"/>
      <c r="J413"/>
      <c r="K413"/>
      <c r="L413"/>
      <c r="M413"/>
      <c r="N413"/>
      <c r="O413"/>
    </row>
    <row r="414" spans="2:9" ht="13.5">
      <c r="B414"/>
      <c r="C414" s="90" t="s">
        <v>337</v>
      </c>
      <c r="D414"/>
      <c r="E414"/>
      <c r="F414" s="90"/>
      <c r="G414" s="90"/>
      <c r="H414" s="90"/>
      <c r="I414"/>
    </row>
    <row r="415" spans="2:10" ht="16.5" thickBot="1">
      <c r="B415" s="94"/>
      <c r="C415" s="259"/>
      <c r="D415" s="90"/>
      <c r="E415"/>
      <c r="F415" s="318"/>
      <c r="G415" s="217"/>
      <c r="H415" s="503"/>
      <c r="I415"/>
      <c r="J415" s="90"/>
    </row>
    <row r="416" spans="2:9" ht="16.5" thickBot="1">
      <c r="B416" s="218" t="s">
        <v>338</v>
      </c>
      <c r="C416" s="92" t="s">
        <v>289</v>
      </c>
      <c r="D416" s="90"/>
      <c r="E416" s="98"/>
      <c r="F416" s="443">
        <f>F409*G29</f>
        <v>24.704236111111115</v>
      </c>
      <c r="G416" s="217" t="s">
        <v>336</v>
      </c>
      <c r="H416" s="487">
        <f>G29</f>
        <v>20</v>
      </c>
      <c r="I416"/>
    </row>
    <row r="417" spans="2:15" ht="15.75">
      <c r="B417"/>
      <c r="C417" s="90" t="s">
        <v>339</v>
      </c>
      <c r="E417"/>
      <c r="F417" s="245"/>
      <c r="G417" s="90"/>
      <c r="H417" s="90"/>
      <c r="I417"/>
      <c r="L417"/>
      <c r="M417"/>
      <c r="N417"/>
      <c r="O417"/>
    </row>
    <row r="418" spans="2:9" ht="16.5" thickBot="1">
      <c r="B418" s="91"/>
      <c r="C418" s="90"/>
      <c r="D418" s="90"/>
      <c r="E418" s="32"/>
      <c r="F418" s="389"/>
      <c r="G418" s="245"/>
      <c r="H418" s="90"/>
      <c r="I418"/>
    </row>
    <row r="419" spans="2:9" ht="16.5" thickBot="1">
      <c r="B419" s="94" t="s">
        <v>340</v>
      </c>
      <c r="C419" s="259" t="s">
        <v>180</v>
      </c>
      <c r="D419" s="90"/>
      <c r="E419"/>
      <c r="F419" s="443">
        <f>SUM(F413+F416)</f>
        <v>26.62252004513889</v>
      </c>
      <c r="G419" s="245"/>
      <c r="H419" s="90"/>
      <c r="I419"/>
    </row>
    <row r="420" spans="2:9" ht="13.5">
      <c r="B420" s="91"/>
      <c r="C420" s="90"/>
      <c r="D420" s="90"/>
      <c r="E420" s="32"/>
      <c r="F420" s="47"/>
      <c r="G420"/>
      <c r="I420"/>
    </row>
    <row r="421" spans="2:9" ht="13.5">
      <c r="B421" s="90" t="s">
        <v>181</v>
      </c>
      <c r="C421" s="90"/>
      <c r="D421" s="90"/>
      <c r="E421" s="32"/>
      <c r="F421" s="47"/>
      <c r="G421"/>
      <c r="I421"/>
    </row>
    <row r="422" spans="2:9" ht="13.5">
      <c r="B422" s="90" t="s">
        <v>182</v>
      </c>
      <c r="C422" s="90"/>
      <c r="D422" s="90"/>
      <c r="E422" s="32"/>
      <c r="F422" s="47"/>
      <c r="G422"/>
      <c r="I422"/>
    </row>
    <row r="423" spans="2:9" ht="13.5">
      <c r="B423" s="90" t="s">
        <v>183</v>
      </c>
      <c r="C423" s="90"/>
      <c r="D423" s="90"/>
      <c r="E423" s="32"/>
      <c r="F423" s="47"/>
      <c r="G423"/>
      <c r="I423"/>
    </row>
    <row r="424" spans="2:9" ht="15" thickBot="1">
      <c r="B424" s="90"/>
      <c r="C424" s="90"/>
      <c r="D424" s="90"/>
      <c r="E424" s="32"/>
      <c r="F424" s="47"/>
      <c r="G424"/>
      <c r="I424"/>
    </row>
    <row r="425" spans="2:9" ht="13.5">
      <c r="B425" s="90"/>
      <c r="C425" s="90"/>
      <c r="D425" s="100" t="s">
        <v>296</v>
      </c>
      <c r="E425" s="492">
        <f>$G$17</f>
        <v>439.4125661827812</v>
      </c>
      <c r="G425"/>
      <c r="I425"/>
    </row>
    <row r="426" spans="2:9" ht="13.5">
      <c r="B426" s="91"/>
      <c r="C426" s="90"/>
      <c r="D426" s="100" t="s">
        <v>297</v>
      </c>
      <c r="E426" s="493">
        <f>F419</f>
        <v>26.62252004513889</v>
      </c>
      <c r="G426"/>
      <c r="I426"/>
    </row>
    <row r="427" spans="2:9" ht="15" thickBot="1">
      <c r="B427" s="91"/>
      <c r="C427" s="90"/>
      <c r="D427" s="100" t="s">
        <v>298</v>
      </c>
      <c r="E427" s="494">
        <f>SUM(E425:E426)</f>
        <v>466.0350862279201</v>
      </c>
      <c r="F427" s="90" t="s">
        <v>184</v>
      </c>
      <c r="G427"/>
      <c r="I427"/>
    </row>
    <row r="428" spans="2:9" ht="13.5">
      <c r="B428" s="91"/>
      <c r="C428" s="90"/>
      <c r="D428"/>
      <c r="E428"/>
      <c r="F428"/>
      <c r="G428"/>
      <c r="I428"/>
    </row>
    <row r="429" spans="2:9" ht="13.5">
      <c r="B429" s="94" t="s">
        <v>185</v>
      </c>
      <c r="C429" s="114" t="s">
        <v>301</v>
      </c>
      <c r="D429" s="90"/>
      <c r="E429"/>
      <c r="F429" s="140"/>
      <c r="G429" s="90"/>
      <c r="I429"/>
    </row>
    <row r="430" spans="2:8" ht="15" thickBot="1">
      <c r="B430" s="90"/>
      <c r="C430" s="91"/>
      <c r="D430" s="90"/>
      <c r="E430" s="90"/>
      <c r="F430" s="100"/>
      <c r="G430" s="140"/>
      <c r="H430" s="90"/>
    </row>
    <row r="431" spans="2:12" ht="13.5">
      <c r="B431" s="91"/>
      <c r="C431" s="491"/>
      <c r="D431" s="187"/>
      <c r="E431" s="187"/>
      <c r="F431" s="187"/>
      <c r="G431" s="187"/>
      <c r="H431" s="269">
        <f>G32</f>
        <v>2</v>
      </c>
      <c r="I431"/>
      <c r="J431"/>
      <c r="K431"/>
      <c r="L431"/>
    </row>
    <row r="432" spans="2:12" ht="15" thickBot="1">
      <c r="B432"/>
      <c r="C432" s="102" t="s">
        <v>23</v>
      </c>
      <c r="D432" s="206">
        <f>E427</f>
        <v>466.0350862279201</v>
      </c>
      <c r="E432" s="206">
        <f>$G$18</f>
        <v>21.553</v>
      </c>
      <c r="F432" s="128" t="s">
        <v>24</v>
      </c>
      <c r="G432" s="206">
        <f>$G$19</f>
        <v>8</v>
      </c>
      <c r="H432" s="272" t="s">
        <v>25</v>
      </c>
      <c r="I432"/>
      <c r="J432"/>
      <c r="K432"/>
      <c r="L432"/>
    </row>
    <row r="433" spans="2:9" ht="13.5">
      <c r="B433" s="91"/>
      <c r="C433" s="90"/>
      <c r="D433" s="90"/>
      <c r="E433" s="32"/>
      <c r="F433" s="47"/>
      <c r="G433"/>
      <c r="I433"/>
    </row>
    <row r="434" spans="2:9" ht="13.5">
      <c r="B434" s="90" t="s">
        <v>186</v>
      </c>
      <c r="C434" s="90"/>
      <c r="D434" s="90"/>
      <c r="E434" s="32"/>
      <c r="F434" s="47"/>
      <c r="G434" s="90"/>
      <c r="I434"/>
    </row>
    <row r="435" spans="2:9" ht="13.5">
      <c r="B435" s="90" t="s">
        <v>187</v>
      </c>
      <c r="C435" s="1"/>
      <c r="I435"/>
    </row>
    <row r="436" spans="2:9" ht="13.5">
      <c r="B436" s="91" t="s">
        <v>188</v>
      </c>
      <c r="C436" s="90"/>
      <c r="D436" s="90"/>
      <c r="E436" s="5"/>
      <c r="G436" s="90"/>
      <c r="I436"/>
    </row>
    <row r="437" spans="2:9" ht="13.5">
      <c r="B437" s="91" t="s">
        <v>189</v>
      </c>
      <c r="C437" s="90"/>
      <c r="D437" s="90"/>
      <c r="E437" s="5"/>
      <c r="G437" s="90"/>
      <c r="I437"/>
    </row>
    <row r="438" spans="2:8" ht="15" thickBot="1">
      <c r="B438" s="90"/>
      <c r="C438" s="91"/>
      <c r="D438" s="90"/>
      <c r="E438" s="90"/>
      <c r="F438" s="5"/>
      <c r="H438" s="90"/>
    </row>
    <row r="439" spans="2:10" ht="15" thickBot="1">
      <c r="B439" s="90"/>
      <c r="C439" s="504" t="s">
        <v>125</v>
      </c>
      <c r="D439" s="492">
        <f>D404*G91</f>
        <v>1038.566086111111</v>
      </c>
      <c r="E439" s="90" t="s">
        <v>190</v>
      </c>
      <c r="F439" s="90"/>
      <c r="G439" s="486">
        <f>D404</f>
        <v>7.411270833333333</v>
      </c>
      <c r="H439" s="142" t="s">
        <v>191</v>
      </c>
      <c r="I439" s="505">
        <f>G91</f>
        <v>140.13333333333333</v>
      </c>
      <c r="J439"/>
    </row>
    <row r="440" spans="2:15" ht="13.5">
      <c r="B440" s="90"/>
      <c r="C440" s="504" t="s">
        <v>126</v>
      </c>
      <c r="D440" s="507">
        <f>D432+E432*$D$404+G432*($D$404^H431)</f>
        <v>1065.1856894188923</v>
      </c>
      <c r="E440" s="90" t="s">
        <v>192</v>
      </c>
      <c r="F440" s="90"/>
      <c r="G440" s="90"/>
      <c r="H440" s="90"/>
      <c r="I440" s="90"/>
      <c r="J440"/>
      <c r="N440"/>
      <c r="O440"/>
    </row>
    <row r="441" spans="2:15" ht="15" thickBot="1">
      <c r="B441" s="90"/>
      <c r="C441" s="504" t="s">
        <v>127</v>
      </c>
      <c r="D441" s="449">
        <f>D439-D440</f>
        <v>-26.61960330778129</v>
      </c>
      <c r="E441" s="90"/>
      <c r="F441" s="90"/>
      <c r="G441" s="90"/>
      <c r="H441" s="90"/>
      <c r="I441" s="90"/>
      <c r="J441"/>
      <c r="N441"/>
      <c r="O441"/>
    </row>
    <row r="442" spans="2:15" ht="13.5">
      <c r="B442" s="90"/>
      <c r="C442" s="91"/>
      <c r="D442" s="90"/>
      <c r="E442" s="90"/>
      <c r="F442"/>
      <c r="G442"/>
      <c r="H442"/>
      <c r="I442"/>
      <c r="J442"/>
      <c r="K442"/>
      <c r="L442"/>
      <c r="M442"/>
      <c r="N442"/>
      <c r="O442"/>
    </row>
    <row r="443" spans="2:8" ht="13.5">
      <c r="B443" s="90"/>
      <c r="C443" s="91" t="s">
        <v>193</v>
      </c>
      <c r="D443" s="90"/>
      <c r="E443" s="90"/>
      <c r="F443" s="32"/>
      <c r="G443" s="183"/>
      <c r="H443" s="90"/>
    </row>
    <row r="444" spans="2:8" ht="13.5">
      <c r="B444" s="90"/>
      <c r="C444" s="91" t="s">
        <v>359</v>
      </c>
      <c r="D444" s="90"/>
      <c r="E444" s="90"/>
      <c r="F444" s="32"/>
      <c r="G444" s="183"/>
      <c r="H444" s="90"/>
    </row>
    <row r="445" spans="2:8" ht="13.5">
      <c r="B445" s="90"/>
      <c r="C445"/>
      <c r="D445" s="90"/>
      <c r="E445" s="90"/>
      <c r="F445" s="5"/>
      <c r="H445" s="90"/>
    </row>
    <row r="446" spans="2:8" ht="13.5">
      <c r="B446" s="100" t="s">
        <v>360</v>
      </c>
      <c r="C446" s="94" t="s">
        <v>361</v>
      </c>
      <c r="D446" s="90"/>
      <c r="E446" s="90"/>
      <c r="F446" s="5"/>
      <c r="H446" s="90"/>
    </row>
    <row r="447" spans="2:8" ht="13.5">
      <c r="B447" s="90"/>
      <c r="C447"/>
      <c r="D447" s="90"/>
      <c r="E447" s="90"/>
      <c r="F447" s="5"/>
      <c r="H447" s="90"/>
    </row>
    <row r="448" spans="2:7" ht="13.5">
      <c r="B448" s="90" t="s">
        <v>362</v>
      </c>
      <c r="C448"/>
      <c r="D448" s="90"/>
      <c r="E448" s="5"/>
      <c r="G448" s="90"/>
    </row>
    <row r="449" spans="2:7" ht="13.5">
      <c r="B449" s="90" t="s">
        <v>363</v>
      </c>
      <c r="C449"/>
      <c r="D449" s="90"/>
      <c r="E449" s="5"/>
      <c r="G449" s="90"/>
    </row>
    <row r="450" spans="2:7" ht="13.5">
      <c r="B450" s="90" t="s">
        <v>364</v>
      </c>
      <c r="C450"/>
      <c r="D450" s="90"/>
      <c r="E450" s="5"/>
      <c r="G450" s="90"/>
    </row>
    <row r="451" spans="2:7" ht="13.5">
      <c r="B451" s="91" t="s">
        <v>365</v>
      </c>
      <c r="C451"/>
      <c r="D451" s="90"/>
      <c r="E451" s="5"/>
      <c r="G451" s="90"/>
    </row>
    <row r="452" spans="2:7" ht="13.5">
      <c r="B452" s="91" t="s">
        <v>366</v>
      </c>
      <c r="C452"/>
      <c r="D452" s="90"/>
      <c r="E452" s="5"/>
      <c r="G452" s="90"/>
    </row>
    <row r="453" spans="2:7" ht="13.5">
      <c r="B453" s="91" t="s">
        <v>367</v>
      </c>
      <c r="C453"/>
      <c r="D453" s="90"/>
      <c r="E453" s="5"/>
      <c r="G453" s="90"/>
    </row>
    <row r="454" spans="2:7" ht="13.5">
      <c r="B454" s="91" t="s">
        <v>368</v>
      </c>
      <c r="C454"/>
      <c r="D454" s="90"/>
      <c r="E454" s="5"/>
      <c r="G454" s="90"/>
    </row>
    <row r="455" spans="2:7" ht="13.5">
      <c r="B455" s="91" t="s">
        <v>369</v>
      </c>
      <c r="C455"/>
      <c r="D455" s="90"/>
      <c r="E455" s="5"/>
      <c r="G455" s="90"/>
    </row>
    <row r="456" spans="2:7" ht="13.5">
      <c r="B456"/>
      <c r="C456"/>
      <c r="D456" s="90"/>
      <c r="E456" s="5"/>
      <c r="G456" s="90"/>
    </row>
    <row r="457" spans="2:7" ht="13.5">
      <c r="B457" s="90" t="s">
        <v>370</v>
      </c>
      <c r="C457"/>
      <c r="D457" s="90"/>
      <c r="E457" s="5"/>
      <c r="G457" s="90"/>
    </row>
    <row r="458" spans="2:7" ht="13.5">
      <c r="B458" s="91" t="s">
        <v>371</v>
      </c>
      <c r="C458"/>
      <c r="D458" s="90"/>
      <c r="E458" s="5"/>
      <c r="G458" s="90"/>
    </row>
    <row r="459" spans="2:7" ht="13.5">
      <c r="B459" s="91" t="s">
        <v>372</v>
      </c>
      <c r="C459"/>
      <c r="D459" s="90"/>
      <c r="E459" s="5"/>
      <c r="G459" s="90"/>
    </row>
    <row r="460" spans="2:7" ht="13.5">
      <c r="B460" s="91" t="s">
        <v>373</v>
      </c>
      <c r="C460"/>
      <c r="D460" s="90"/>
      <c r="E460" s="5"/>
      <c r="G460" s="90"/>
    </row>
    <row r="461" spans="2:7" ht="13.5">
      <c r="B461" s="90" t="s">
        <v>374</v>
      </c>
      <c r="C461"/>
      <c r="D461" s="90"/>
      <c r="E461" s="5"/>
      <c r="G461" s="90"/>
    </row>
    <row r="462" spans="2:7" ht="13.5">
      <c r="B462" s="90"/>
      <c r="C462"/>
      <c r="D462" s="90"/>
      <c r="E462" s="5"/>
      <c r="G462" s="90"/>
    </row>
    <row r="463" spans="2:7" ht="13.5">
      <c r="B463" s="90"/>
      <c r="C463" s="91"/>
      <c r="D463" s="90"/>
      <c r="E463" s="5"/>
      <c r="G463" s="90"/>
    </row>
    <row r="464" spans="2:7" ht="13.5">
      <c r="B464" s="90" t="s">
        <v>375</v>
      </c>
      <c r="C464"/>
      <c r="D464" s="90"/>
      <c r="E464" s="5"/>
      <c r="G464" s="90"/>
    </row>
    <row r="465" spans="2:7" ht="13.5">
      <c r="B465" s="90" t="s">
        <v>376</v>
      </c>
      <c r="C465"/>
      <c r="D465" s="90"/>
      <c r="E465" s="5"/>
      <c r="G465" s="90"/>
    </row>
    <row r="466" spans="2:7" ht="13.5">
      <c r="B466" s="90" t="s">
        <v>377</v>
      </c>
      <c r="C466"/>
      <c r="D466" s="90"/>
      <c r="E466" s="5"/>
      <c r="G466" s="90"/>
    </row>
    <row r="467" spans="2:7" ht="15.75">
      <c r="B467" s="90"/>
      <c r="C467" s="91"/>
      <c r="D467" s="90"/>
      <c r="E467" s="5"/>
      <c r="G467" s="90"/>
    </row>
    <row r="468" spans="2:7" ht="15.75">
      <c r="B468" s="90"/>
      <c r="C468" s="91"/>
      <c r="D468" s="90"/>
      <c r="E468" s="5"/>
      <c r="G468" s="90"/>
    </row>
    <row r="469" spans="2:7" ht="15.75">
      <c r="B469" s="90"/>
      <c r="C469" s="91"/>
      <c r="D469" s="90"/>
      <c r="E469" s="5"/>
      <c r="G469" s="90"/>
    </row>
    <row r="470" spans="2:7" ht="15.75">
      <c r="B470" s="90"/>
      <c r="C470" s="91"/>
      <c r="D470" s="90"/>
      <c r="E470" s="5"/>
      <c r="G470" s="90"/>
    </row>
    <row r="471" spans="2:7" ht="15.75">
      <c r="B471" s="90"/>
      <c r="C471" s="91"/>
      <c r="D471" s="90"/>
      <c r="E471" s="5"/>
      <c r="G471" s="90"/>
    </row>
    <row r="472" spans="2:7" ht="15.75">
      <c r="B472" s="90"/>
      <c r="C472" s="91"/>
      <c r="D472" s="90"/>
      <c r="E472" s="5"/>
      <c r="G472" s="90"/>
    </row>
    <row r="473" spans="2:7" ht="15.75">
      <c r="B473" s="90"/>
      <c r="C473" s="91"/>
      <c r="D473" s="90"/>
      <c r="E473" s="5"/>
      <c r="G473" s="90"/>
    </row>
    <row r="474" spans="2:7" ht="15.75">
      <c r="B474" s="90"/>
      <c r="C474" s="91"/>
      <c r="D474" s="90"/>
      <c r="E474" s="5"/>
      <c r="G474" s="90"/>
    </row>
    <row r="475" spans="2:7" ht="15.75">
      <c r="B475" s="90"/>
      <c r="C475" s="91"/>
      <c r="D475" s="90"/>
      <c r="E475" s="5"/>
      <c r="G475" s="90"/>
    </row>
    <row r="476" spans="2:19" ht="15.75">
      <c r="B476" s="90"/>
      <c r="C476" s="91"/>
      <c r="D476" s="90"/>
      <c r="E476" s="5"/>
      <c r="G476" s="90"/>
      <c r="P476" s="6" t="s">
        <v>54</v>
      </c>
      <c r="Q476" s="84" t="s">
        <v>55</v>
      </c>
      <c r="R476" s="84" t="s">
        <v>56</v>
      </c>
      <c r="S476" s="7" t="s">
        <v>57</v>
      </c>
    </row>
    <row r="477" spans="2:19" ht="15.75">
      <c r="B477" s="90"/>
      <c r="C477" s="91"/>
      <c r="D477" s="90"/>
      <c r="E477" s="5"/>
      <c r="G477" s="90"/>
      <c r="P477" s="1">
        <v>0</v>
      </c>
      <c r="Q477" s="93"/>
      <c r="R477" s="93"/>
      <c r="S477" s="93">
        <f aca="true" t="shared" si="19" ref="S477:S493">$G$91</f>
        <v>140.13333333333333</v>
      </c>
    </row>
    <row r="478" spans="2:19" ht="15.75">
      <c r="B478" s="90"/>
      <c r="C478" s="91"/>
      <c r="D478" s="90"/>
      <c r="E478" s="5"/>
      <c r="G478" s="90"/>
      <c r="P478" s="1">
        <f aca="true" t="shared" si="20" ref="P478:P493">P477+$Q$10</f>
        <v>1</v>
      </c>
      <c r="Q478" s="93">
        <f aca="true" t="shared" si="21" ref="Q478:Q493">($D$556+$E$556*P478+$G$556*(P478^2))/P478</f>
        <v>492.08833296424</v>
      </c>
      <c r="R478" s="93">
        <f aca="true" t="shared" si="22" ref="R478:R493">$D$561+$F$561*P478</f>
        <v>37.553</v>
      </c>
      <c r="S478" s="93">
        <f t="shared" si="19"/>
        <v>140.13333333333333</v>
      </c>
    </row>
    <row r="479" spans="2:19" ht="15.75">
      <c r="B479" s="90"/>
      <c r="C479" s="91"/>
      <c r="D479" s="90"/>
      <c r="E479" s="5"/>
      <c r="G479" s="90"/>
      <c r="P479" s="1">
        <f t="shared" si="20"/>
        <v>2</v>
      </c>
      <c r="Q479" s="93">
        <f t="shared" si="21"/>
        <v>268.82066648212003</v>
      </c>
      <c r="R479" s="93">
        <f t="shared" si="22"/>
        <v>53.553</v>
      </c>
      <c r="S479" s="93">
        <f t="shared" si="19"/>
        <v>140.13333333333333</v>
      </c>
    </row>
    <row r="480" spans="2:21" ht="16.5" thickBot="1">
      <c r="B480" s="90"/>
      <c r="C480" s="91"/>
      <c r="D480" s="90"/>
      <c r="E480" s="5"/>
      <c r="G480" s="90"/>
      <c r="P480" s="1">
        <f t="shared" si="20"/>
        <v>3</v>
      </c>
      <c r="Q480" s="93">
        <f t="shared" si="21"/>
        <v>199.73144432141336</v>
      </c>
      <c r="R480" s="93">
        <f t="shared" si="22"/>
        <v>69.553</v>
      </c>
      <c r="S480" s="93">
        <f t="shared" si="19"/>
        <v>140.13333333333333</v>
      </c>
      <c r="U480" s="1" t="s">
        <v>378</v>
      </c>
    </row>
    <row r="481" spans="2:27" ht="15.75">
      <c r="B481" s="90"/>
      <c r="C481" s="91"/>
      <c r="D481" s="90"/>
      <c r="E481" s="5"/>
      <c r="G481" s="90"/>
      <c r="P481" s="1">
        <f t="shared" si="20"/>
        <v>4</v>
      </c>
      <c r="Q481" s="93">
        <f t="shared" si="21"/>
        <v>169.18683324106001</v>
      </c>
      <c r="R481" s="93">
        <f t="shared" si="22"/>
        <v>85.553</v>
      </c>
      <c r="S481" s="93">
        <f t="shared" si="19"/>
        <v>140.13333333333333</v>
      </c>
      <c r="U481" s="150">
        <f>D591</f>
        <v>7.411270833333333</v>
      </c>
      <c r="V481" s="44" t="s">
        <v>379</v>
      </c>
      <c r="W481" s="44"/>
      <c r="X481" s="44"/>
      <c r="Y481" s="44"/>
      <c r="Z481" s="44"/>
      <c r="AA481" s="105"/>
    </row>
    <row r="482" spans="2:27" ht="15.75">
      <c r="B482" s="90"/>
      <c r="C482" s="91"/>
      <c r="D482" s="90"/>
      <c r="E482" s="5"/>
      <c r="G482" s="90"/>
      <c r="P482" s="1">
        <f t="shared" si="20"/>
        <v>5</v>
      </c>
      <c r="Q482" s="93">
        <f t="shared" si="21"/>
        <v>154.06006659284802</v>
      </c>
      <c r="R482" s="93">
        <f t="shared" si="22"/>
        <v>101.553</v>
      </c>
      <c r="S482" s="93">
        <f t="shared" si="19"/>
        <v>140.13333333333333</v>
      </c>
      <c r="U482" s="151">
        <f>R41</f>
        <v>0</v>
      </c>
      <c r="V482" s="27" t="s">
        <v>380</v>
      </c>
      <c r="W482" s="27"/>
      <c r="X482" s="27"/>
      <c r="Y482" s="27"/>
      <c r="Z482" s="27"/>
      <c r="AA482" s="26"/>
    </row>
    <row r="483" spans="2:27" ht="15.75">
      <c r="B483" s="90"/>
      <c r="C483" s="91"/>
      <c r="D483" s="90"/>
      <c r="E483" s="5"/>
      <c r="G483" s="90"/>
      <c r="P483" s="1">
        <f t="shared" si="20"/>
        <v>6</v>
      </c>
      <c r="Q483" s="93">
        <f t="shared" si="21"/>
        <v>146.64222216070667</v>
      </c>
      <c r="R483" s="93">
        <f t="shared" si="22"/>
        <v>117.553</v>
      </c>
      <c r="S483" s="93">
        <f t="shared" si="19"/>
        <v>140.13333333333333</v>
      </c>
      <c r="U483" s="152">
        <f>R42*(G34+G35)*(D591/D589)</f>
        <v>0</v>
      </c>
      <c r="V483" s="109" t="s">
        <v>381</v>
      </c>
      <c r="W483" s="27"/>
      <c r="X483" s="27"/>
      <c r="Y483" s="27"/>
      <c r="Z483" s="27"/>
      <c r="AA483" s="26"/>
    </row>
    <row r="484" spans="2:27" ht="15.75">
      <c r="B484" s="90"/>
      <c r="C484"/>
      <c r="D484" s="90"/>
      <c r="E484" s="5"/>
      <c r="G484" s="90"/>
      <c r="P484" s="1">
        <f t="shared" si="20"/>
        <v>7</v>
      </c>
      <c r="Q484" s="93">
        <f t="shared" si="21"/>
        <v>143.62947613774858</v>
      </c>
      <c r="R484" s="93">
        <f t="shared" si="22"/>
        <v>133.553</v>
      </c>
      <c r="S484" s="93">
        <f t="shared" si="19"/>
        <v>140.13333333333333</v>
      </c>
      <c r="U484" s="153">
        <f>$G$34/($G$34+$G$35)*U483</f>
        <v>0</v>
      </c>
      <c r="V484" s="27" t="s">
        <v>382</v>
      </c>
      <c r="W484" s="27"/>
      <c r="X484" s="27"/>
      <c r="Y484" s="27"/>
      <c r="Z484" s="27"/>
      <c r="AA484" s="26"/>
    </row>
    <row r="485" spans="2:27" ht="15.75">
      <c r="B485" s="90"/>
      <c r="C485"/>
      <c r="D485" s="90"/>
      <c r="E485" s="5"/>
      <c r="G485" s="90"/>
      <c r="P485" s="1">
        <f t="shared" si="20"/>
        <v>8</v>
      </c>
      <c r="Q485" s="93">
        <f t="shared" si="21"/>
        <v>143.36991662053</v>
      </c>
      <c r="R485" s="93">
        <f t="shared" si="22"/>
        <v>149.553</v>
      </c>
      <c r="S485" s="93">
        <f t="shared" si="19"/>
        <v>140.13333333333333</v>
      </c>
      <c r="U485" s="153">
        <f>$G$35/($G$34+$G$35)*U483</f>
        <v>0</v>
      </c>
      <c r="V485" s="27" t="s">
        <v>383</v>
      </c>
      <c r="W485" s="27"/>
      <c r="X485" s="27"/>
      <c r="Y485" s="27"/>
      <c r="Z485" s="27"/>
      <c r="AA485" s="26"/>
    </row>
    <row r="486" spans="2:27" ht="7.5" customHeight="1" thickBot="1">
      <c r="B486" s="90"/>
      <c r="C486" s="91"/>
      <c r="D486" s="90"/>
      <c r="E486" s="5"/>
      <c r="G486" s="90"/>
      <c r="P486" s="1">
        <f t="shared" si="20"/>
        <v>9</v>
      </c>
      <c r="Q486" s="93">
        <f t="shared" si="21"/>
        <v>144.94581477380447</v>
      </c>
      <c r="R486" s="93">
        <f t="shared" si="22"/>
        <v>165.553</v>
      </c>
      <c r="S486" s="93">
        <f t="shared" si="19"/>
        <v>140.13333333333333</v>
      </c>
      <c r="U486" s="153">
        <f>U484/G36</f>
        <v>0</v>
      </c>
      <c r="V486" s="27" t="s">
        <v>384</v>
      </c>
      <c r="W486" s="27"/>
      <c r="X486" s="27"/>
      <c r="Y486" s="27"/>
      <c r="Z486" s="27"/>
      <c r="AA486" s="26"/>
    </row>
    <row r="487" spans="2:27" ht="16.5" thickBot="1">
      <c r="B487" s="94">
        <v>11</v>
      </c>
      <c r="C487" s="90"/>
      <c r="D487" s="100" t="s">
        <v>385</v>
      </c>
      <c r="E487" s="508" t="s">
        <v>386</v>
      </c>
      <c r="F487" s="461">
        <f>D403/2</f>
        <v>0.6176059027777778</v>
      </c>
      <c r="G487" s="90" t="s">
        <v>387</v>
      </c>
      <c r="H487" s="245"/>
      <c r="I487" s="90"/>
      <c r="P487" s="1">
        <f t="shared" si="20"/>
        <v>10</v>
      </c>
      <c r="Q487" s="93">
        <f t="shared" si="21"/>
        <v>147.806533296424</v>
      </c>
      <c r="R487" s="93">
        <f t="shared" si="22"/>
        <v>181.553</v>
      </c>
      <c r="S487" s="93">
        <f t="shared" si="19"/>
        <v>140.13333333333333</v>
      </c>
      <c r="U487" s="153">
        <f>U485/G37</f>
        <v>0</v>
      </c>
      <c r="V487" s="27" t="s">
        <v>388</v>
      </c>
      <c r="W487" s="27"/>
      <c r="X487" s="27"/>
      <c r="Y487" s="27"/>
      <c r="Z487" s="27"/>
      <c r="AA487" s="26"/>
    </row>
    <row r="488" spans="2:28" ht="9.75" customHeight="1" thickBot="1">
      <c r="B488" s="91"/>
      <c r="C488" s="90"/>
      <c r="D488" s="90"/>
      <c r="E488" s="100"/>
      <c r="F488" s="90"/>
      <c r="G488" s="90"/>
      <c r="H488" s="245"/>
      <c r="I488" s="90"/>
      <c r="P488" s="1">
        <f t="shared" si="20"/>
        <v>11</v>
      </c>
      <c r="Q488" s="93">
        <f t="shared" si="21"/>
        <v>151.60166663311273</v>
      </c>
      <c r="R488" s="93">
        <f t="shared" si="22"/>
        <v>197.553</v>
      </c>
      <c r="S488" s="93">
        <f t="shared" si="19"/>
        <v>140.13333333333333</v>
      </c>
      <c r="U488" s="154">
        <f>G33*(U486^G34)*(U487^G35)</f>
        <v>0</v>
      </c>
      <c r="V488" s="14" t="s">
        <v>389</v>
      </c>
      <c r="W488" s="14"/>
      <c r="X488" s="14"/>
      <c r="Y488" s="14"/>
      <c r="Z488" s="14"/>
      <c r="AA488" s="145"/>
      <c r="AB488"/>
    </row>
    <row r="489" spans="2:28" ht="16.5" thickBot="1">
      <c r="B489" s="94">
        <v>12</v>
      </c>
      <c r="C489" s="114" t="s">
        <v>390</v>
      </c>
      <c r="D489"/>
      <c r="E489" s="245"/>
      <c r="F489" s="245"/>
      <c r="G489" s="245"/>
      <c r="H489" s="245"/>
      <c r="I489" s="245"/>
      <c r="J489"/>
      <c r="P489" s="1">
        <f t="shared" si="20"/>
        <v>12</v>
      </c>
      <c r="Q489" s="93">
        <f t="shared" si="21"/>
        <v>156.09761108035335</v>
      </c>
      <c r="R489" s="93">
        <f t="shared" si="22"/>
        <v>213.553</v>
      </c>
      <c r="S489" s="93">
        <f t="shared" si="19"/>
        <v>140.13333333333333</v>
      </c>
      <c r="T489" s="93"/>
      <c r="U489"/>
      <c r="V489"/>
      <c r="W489"/>
      <c r="X489"/>
      <c r="Y489"/>
      <c r="Z489"/>
      <c r="AA489"/>
      <c r="AB489"/>
    </row>
    <row r="490" spans="2:28" ht="16.5" thickBot="1">
      <c r="B490"/>
      <c r="C490"/>
      <c r="D490" s="94"/>
      <c r="E490" s="103" t="s">
        <v>391</v>
      </c>
      <c r="F490" s="509">
        <f>G29*(F487)</f>
        <v>12.352118055555557</v>
      </c>
      <c r="G490" s="90" t="s">
        <v>392</v>
      </c>
      <c r="H490" s="245"/>
      <c r="I490" s="487">
        <f>G29</f>
        <v>20</v>
      </c>
      <c r="J490"/>
      <c r="P490" s="1">
        <f t="shared" si="20"/>
        <v>13</v>
      </c>
      <c r="Q490" s="93">
        <f t="shared" si="21"/>
        <v>161.13264099724924</v>
      </c>
      <c r="R490" s="93">
        <f t="shared" si="22"/>
        <v>229.553</v>
      </c>
      <c r="S490" s="93">
        <f t="shared" si="19"/>
        <v>140.13333333333333</v>
      </c>
      <c r="T490" s="93"/>
      <c r="U490"/>
      <c r="V490"/>
      <c r="W490"/>
      <c r="X490"/>
      <c r="Y490"/>
      <c r="Z490"/>
      <c r="AA490"/>
      <c r="AB490"/>
    </row>
    <row r="491" spans="2:28" ht="6.75" customHeight="1">
      <c r="B491" s="90"/>
      <c r="C491" s="91"/>
      <c r="D491" s="90"/>
      <c r="E491" s="90"/>
      <c r="F491" s="100"/>
      <c r="G491" s="90"/>
      <c r="H491" s="90"/>
      <c r="I491" s="90"/>
      <c r="P491" s="1">
        <f t="shared" si="20"/>
        <v>14</v>
      </c>
      <c r="Q491" s="93">
        <f t="shared" si="21"/>
        <v>166.59123806887428</v>
      </c>
      <c r="R491" s="93">
        <f t="shared" si="22"/>
        <v>245.553</v>
      </c>
      <c r="S491" s="93">
        <f t="shared" si="19"/>
        <v>140.13333333333333</v>
      </c>
      <c r="T491" s="93"/>
      <c r="U491"/>
      <c r="V491"/>
      <c r="W491"/>
      <c r="X491"/>
      <c r="Y491"/>
      <c r="Z491"/>
      <c r="AA491"/>
      <c r="AB491"/>
    </row>
    <row r="492" spans="2:28" ht="13.5">
      <c r="B492" s="90" t="s">
        <v>393</v>
      </c>
      <c r="C492"/>
      <c r="D492" s="90"/>
      <c r="E492" s="100"/>
      <c r="F492" s="90"/>
      <c r="G492" s="90"/>
      <c r="H492" s="90"/>
      <c r="I492" s="90"/>
      <c r="P492" s="1">
        <f t="shared" si="20"/>
        <v>15</v>
      </c>
      <c r="Q492" s="93">
        <f t="shared" si="21"/>
        <v>172.38868886428267</v>
      </c>
      <c r="R492" s="93">
        <f t="shared" si="22"/>
        <v>261.553</v>
      </c>
      <c r="S492" s="93">
        <f t="shared" si="19"/>
        <v>140.13333333333333</v>
      </c>
      <c r="T492" s="93"/>
      <c r="U492"/>
      <c r="V492"/>
      <c r="W492"/>
      <c r="X492"/>
      <c r="Y492"/>
      <c r="Z492"/>
      <c r="AA492"/>
      <c r="AB492"/>
    </row>
    <row r="493" spans="2:27" ht="13.5">
      <c r="B493" s="90" t="s">
        <v>394</v>
      </c>
      <c r="C493"/>
      <c r="D493" s="90"/>
      <c r="E493" s="100"/>
      <c r="F493" s="90"/>
      <c r="G493" s="90"/>
      <c r="H493" s="90"/>
      <c r="I493" s="90"/>
      <c r="P493" s="1">
        <f t="shared" si="20"/>
        <v>16</v>
      </c>
      <c r="Q493" s="93">
        <f t="shared" si="21"/>
        <v>178.46145831026502</v>
      </c>
      <c r="R493" s="93">
        <f t="shared" si="22"/>
        <v>277.553</v>
      </c>
      <c r="S493" s="93">
        <f t="shared" si="19"/>
        <v>140.13333333333333</v>
      </c>
      <c r="T493" s="93"/>
      <c r="U493"/>
      <c r="V493"/>
      <c r="W493"/>
      <c r="X493"/>
      <c r="Y493"/>
      <c r="Z493"/>
      <c r="AA493"/>
    </row>
    <row r="494" spans="2:27" ht="7.5" customHeight="1" thickBot="1">
      <c r="B494" s="90"/>
      <c r="C494" s="91"/>
      <c r="D494" s="90"/>
      <c r="E494" s="90"/>
      <c r="F494" s="100"/>
      <c r="G494" s="90"/>
      <c r="H494" s="90"/>
      <c r="I494" s="90"/>
      <c r="P494"/>
      <c r="Q494"/>
      <c r="R494"/>
      <c r="S494" s="93"/>
      <c r="T494"/>
      <c r="U494"/>
      <c r="V494"/>
      <c r="W494"/>
      <c r="X494"/>
      <c r="Y494"/>
      <c r="Z494"/>
      <c r="AA494"/>
    </row>
    <row r="495" spans="2:27" ht="16.5" thickBot="1">
      <c r="B495" s="90"/>
      <c r="C495" s="141" t="s">
        <v>253</v>
      </c>
      <c r="D495" s="487">
        <f>G29*(D403/2)</f>
        <v>12.352118055555557</v>
      </c>
      <c r="E495" s="132" t="s">
        <v>254</v>
      </c>
      <c r="F495"/>
      <c r="G495" s="245"/>
      <c r="H495" s="90"/>
      <c r="I495" s="90"/>
      <c r="P495" s="208"/>
      <c r="Q495" s="104"/>
      <c r="R495" s="209">
        <f>$R$164</f>
        <v>0.5</v>
      </c>
      <c r="S495" s="209">
        <f>$S$164</f>
        <v>0.5</v>
      </c>
      <c r="T495" s="104"/>
      <c r="U495" s="104"/>
      <c r="V495" s="104"/>
      <c r="W495" s="104"/>
      <c r="X495" s="210"/>
      <c r="Y495"/>
      <c r="Z495"/>
      <c r="AA495"/>
    </row>
    <row r="496" spans="2:27" ht="9.75" customHeight="1" thickBot="1">
      <c r="B496" s="90"/>
      <c r="C496" s="141"/>
      <c r="D496" s="90"/>
      <c r="E496" s="245"/>
      <c r="F496"/>
      <c r="G496" s="245"/>
      <c r="H496" s="90"/>
      <c r="I496" s="90"/>
      <c r="P496" s="211" t="str">
        <f>P165</f>
        <v>Q =</v>
      </c>
      <c r="Q496" s="222">
        <f>$Q$165</f>
        <v>10</v>
      </c>
      <c r="R496" s="161" t="str">
        <f>R165</f>
        <v>K</v>
      </c>
      <c r="S496" s="161" t="str">
        <f>S165</f>
        <v>L</v>
      </c>
      <c r="T496" s="109"/>
      <c r="U496" s="109"/>
      <c r="V496" s="109"/>
      <c r="W496" s="109"/>
      <c r="X496" s="212"/>
      <c r="Y496"/>
      <c r="Z496"/>
      <c r="AA496"/>
    </row>
    <row r="497" spans="2:27" ht="16.5" thickBot="1">
      <c r="B497" s="90"/>
      <c r="C497" s="141" t="s">
        <v>255</v>
      </c>
      <c r="D497" s="487">
        <f>G29*(((D403/4))/2)</f>
        <v>3.0880295138888894</v>
      </c>
      <c r="E497" s="132" t="s">
        <v>256</v>
      </c>
      <c r="F497"/>
      <c r="G497" s="245"/>
      <c r="H497" s="90"/>
      <c r="I497" s="90"/>
      <c r="P497" s="211" t="s">
        <v>257</v>
      </c>
      <c r="Q497" s="214">
        <f>G556*D591</f>
        <v>59.290166666666664</v>
      </c>
      <c r="R497" s="109" t="s">
        <v>143</v>
      </c>
      <c r="S497" s="107"/>
      <c r="T497" s="109"/>
      <c r="U497" s="109"/>
      <c r="V497" s="109"/>
      <c r="W497" s="109"/>
      <c r="X497" s="212"/>
      <c r="Y497"/>
      <c r="Z497"/>
      <c r="AA497"/>
    </row>
    <row r="498" spans="2:27" ht="7.5" customHeight="1" thickBot="1">
      <c r="B498" s="90"/>
      <c r="C498" s="141"/>
      <c r="D498" s="90"/>
      <c r="E498" s="245"/>
      <c r="F498"/>
      <c r="G498" s="245"/>
      <c r="H498" s="90"/>
      <c r="I498" s="90"/>
      <c r="P498" s="146" t="s">
        <v>14</v>
      </c>
      <c r="Q498" s="33">
        <f>D591</f>
        <v>7.411270833333333</v>
      </c>
      <c r="R498" s="27"/>
      <c r="S498" s="107"/>
      <c r="T498" s="27"/>
      <c r="U498" s="27"/>
      <c r="V498" s="109"/>
      <c r="W498" s="109"/>
      <c r="X498" s="212"/>
      <c r="Y498"/>
      <c r="Z498"/>
      <c r="AA498"/>
    </row>
    <row r="499" spans="2:24" ht="16.5" thickBot="1">
      <c r="B499" s="90"/>
      <c r="C499" s="141" t="s">
        <v>258</v>
      </c>
      <c r="D499" s="510">
        <f>G29*((D403/12)/2)</f>
        <v>1.0293431712962964</v>
      </c>
      <c r="E499" s="132" t="s">
        <v>259</v>
      </c>
      <c r="F499"/>
      <c r="G499" s="90" t="s">
        <v>260</v>
      </c>
      <c r="H499" s="245"/>
      <c r="I499" s="90"/>
      <c r="P499" s="131" t="s">
        <v>261</v>
      </c>
      <c r="Q499" s="111">
        <f>G36</f>
        <v>40</v>
      </c>
      <c r="R499" s="27"/>
      <c r="S499" s="27"/>
      <c r="T499" s="27"/>
      <c r="U499" s="27"/>
      <c r="V499" s="27"/>
      <c r="W499" s="27"/>
      <c r="X499" s="26"/>
    </row>
    <row r="500" spans="2:24" ht="13.5">
      <c r="B500" s="90" t="s">
        <v>262</v>
      </c>
      <c r="C500"/>
      <c r="E500" s="90"/>
      <c r="F500" s="90"/>
      <c r="G500" s="90"/>
      <c r="H500" s="90"/>
      <c r="I500" s="90"/>
      <c r="P500" s="131" t="s">
        <v>263</v>
      </c>
      <c r="Q500" s="111">
        <f>G37</f>
        <v>40</v>
      </c>
      <c r="R500" s="167">
        <f>R169</f>
        <v>0.5</v>
      </c>
      <c r="S500" s="167">
        <f>S169</f>
        <v>0.5</v>
      </c>
      <c r="T500" s="27"/>
      <c r="U500" s="27"/>
      <c r="V500" s="27"/>
      <c r="W500" s="27"/>
      <c r="X500" s="26"/>
    </row>
    <row r="501" spans="2:24" ht="13.5">
      <c r="B501" s="90" t="s">
        <v>264</v>
      </c>
      <c r="C501" s="91"/>
      <c r="D501" s="90"/>
      <c r="E501" s="100"/>
      <c r="F501" s="90"/>
      <c r="G501" s="90"/>
      <c r="H501" s="90"/>
      <c r="I501" s="90"/>
      <c r="P501" s="22" t="str">
        <f>P170</f>
        <v>Max  Lagrang.=</v>
      </c>
      <c r="Q501" s="27">
        <f>Q170</f>
        <v>10</v>
      </c>
      <c r="R501" s="27" t="str">
        <f>R170</f>
        <v>K</v>
      </c>
      <c r="S501" s="27" t="str">
        <f>S170</f>
        <v>L             +  Lamda</v>
      </c>
      <c r="T501" s="27">
        <f>T170</f>
        <v>40</v>
      </c>
      <c r="U501" s="27" t="str">
        <f>U170</f>
        <v>K         +</v>
      </c>
      <c r="V501" s="27">
        <f>V170</f>
        <v>40</v>
      </c>
      <c r="W501" s="27" t="str">
        <f>W170</f>
        <v>L             </v>
      </c>
      <c r="X501" s="159">
        <f>-Q497</f>
        <v>-59.290166666666664</v>
      </c>
    </row>
    <row r="502" spans="2:24" ht="13.5">
      <c r="B502" s="90"/>
      <c r="C502" s="91"/>
      <c r="D502" s="90"/>
      <c r="E502" s="100"/>
      <c r="F502" s="90"/>
      <c r="G502" s="90"/>
      <c r="H502" s="90"/>
      <c r="I502" s="90"/>
      <c r="P502" s="22"/>
      <c r="Q502" s="106"/>
      <c r="R502" s="170">
        <f>R500-1</f>
        <v>-0.5</v>
      </c>
      <c r="S502" s="170">
        <f>S500</f>
        <v>0.5</v>
      </c>
      <c r="T502" s="27"/>
      <c r="U502" s="27"/>
      <c r="V502" s="27"/>
      <c r="W502" s="27"/>
      <c r="X502" s="26"/>
    </row>
    <row r="503" spans="2:24" ht="15.75">
      <c r="B503" s="90" t="s">
        <v>265</v>
      </c>
      <c r="C503"/>
      <c r="D503"/>
      <c r="E503" s="245"/>
      <c r="F503" s="245"/>
      <c r="G503" s="245"/>
      <c r="H503" s="245"/>
      <c r="I503" s="245"/>
      <c r="J503"/>
      <c r="K503"/>
      <c r="L503"/>
      <c r="P503" s="131" t="s">
        <v>152</v>
      </c>
      <c r="Q503" s="106">
        <f>R500*Q501</f>
        <v>5</v>
      </c>
      <c r="R503" s="27" t="s">
        <v>140</v>
      </c>
      <c r="S503" s="167" t="s">
        <v>148</v>
      </c>
      <c r="T503" s="107">
        <f>T501</f>
        <v>40</v>
      </c>
      <c r="U503" s="27" t="s">
        <v>153</v>
      </c>
      <c r="V503" s="27"/>
      <c r="W503" s="27"/>
      <c r="X503" s="26"/>
    </row>
    <row r="504" spans="2:24" ht="15.75">
      <c r="B504" s="90" t="s">
        <v>266</v>
      </c>
      <c r="C504"/>
      <c r="D504"/>
      <c r="E504" s="245"/>
      <c r="F504" s="245"/>
      <c r="G504" s="245"/>
      <c r="H504" s="245"/>
      <c r="I504" s="245"/>
      <c r="J504"/>
      <c r="K504"/>
      <c r="L504"/>
      <c r="P504" s="22"/>
      <c r="Q504" s="106"/>
      <c r="R504" s="170">
        <f>R500</f>
        <v>0.5</v>
      </c>
      <c r="S504" s="170">
        <f>S500-1</f>
        <v>-0.5</v>
      </c>
      <c r="T504" s="27"/>
      <c r="U504" s="27"/>
      <c r="V504" s="27"/>
      <c r="W504" s="27"/>
      <c r="X504" s="26"/>
    </row>
    <row r="505" spans="2:24" ht="15.75">
      <c r="B505" s="90"/>
      <c r="C505"/>
      <c r="D505"/>
      <c r="E505" s="245"/>
      <c r="F505" s="245"/>
      <c r="G505" s="245"/>
      <c r="H505" s="245"/>
      <c r="I505" s="245"/>
      <c r="J505"/>
      <c r="K505"/>
      <c r="L505"/>
      <c r="P505" s="131" t="s">
        <v>156</v>
      </c>
      <c r="Q505" s="106">
        <f>S500*Q501</f>
        <v>5</v>
      </c>
      <c r="R505" s="27" t="s">
        <v>140</v>
      </c>
      <c r="S505" s="167" t="s">
        <v>148</v>
      </c>
      <c r="T505" s="107">
        <f>V501</f>
        <v>40</v>
      </c>
      <c r="U505" s="27" t="s">
        <v>157</v>
      </c>
      <c r="V505" s="27"/>
      <c r="W505" s="27"/>
      <c r="X505" s="26"/>
    </row>
    <row r="506" spans="2:24" ht="15.75">
      <c r="B506" s="90"/>
      <c r="C506"/>
      <c r="D506"/>
      <c r="E506"/>
      <c r="F506"/>
      <c r="G506"/>
      <c r="H506"/>
      <c r="I506"/>
      <c r="J506"/>
      <c r="K506"/>
      <c r="L506"/>
      <c r="P506" s="22"/>
      <c r="Q506" s="106"/>
      <c r="R506" s="27"/>
      <c r="S506" s="27"/>
      <c r="T506" s="27"/>
      <c r="U506" s="27"/>
      <c r="V506" s="27"/>
      <c r="W506" s="27"/>
      <c r="X506" s="26"/>
    </row>
    <row r="507" spans="2:24" ht="15.75">
      <c r="B507" s="90"/>
      <c r="C507"/>
      <c r="D507"/>
      <c r="E507"/>
      <c r="F507"/>
      <c r="G507"/>
      <c r="H507"/>
      <c r="I507"/>
      <c r="J507"/>
      <c r="K507"/>
      <c r="L507"/>
      <c r="P507" s="153" t="s">
        <v>158</v>
      </c>
      <c r="Q507" s="107">
        <f>T501</f>
        <v>40</v>
      </c>
      <c r="R507" s="27" t="s">
        <v>159</v>
      </c>
      <c r="S507" s="107">
        <f>V501</f>
        <v>40</v>
      </c>
      <c r="T507" s="27" t="s">
        <v>160</v>
      </c>
      <c r="U507" s="169">
        <f>-Q497</f>
        <v>-59.290166666666664</v>
      </c>
      <c r="V507" s="27" t="s">
        <v>161</v>
      </c>
      <c r="W507" s="27"/>
      <c r="X507" s="26"/>
    </row>
    <row r="508" spans="2:24" ht="15.75">
      <c r="B508" s="90"/>
      <c r="C508"/>
      <c r="D508"/>
      <c r="E508"/>
      <c r="F508"/>
      <c r="G508"/>
      <c r="H508"/>
      <c r="I508"/>
      <c r="J508"/>
      <c r="K508"/>
      <c r="L508"/>
      <c r="P508" s="22"/>
      <c r="Q508" s="27"/>
      <c r="R508" s="167">
        <f>R502</f>
        <v>-0.5</v>
      </c>
      <c r="S508" s="167">
        <f>S502</f>
        <v>0.5</v>
      </c>
      <c r="T508" s="27"/>
      <c r="U508" s="27"/>
      <c r="V508" s="27"/>
      <c r="W508" s="27"/>
      <c r="X508" s="26"/>
    </row>
    <row r="509" spans="2:24" ht="15.75">
      <c r="B509" s="90"/>
      <c r="C509"/>
      <c r="D509"/>
      <c r="E509"/>
      <c r="F509"/>
      <c r="G509"/>
      <c r="H509"/>
      <c r="I509"/>
      <c r="J509"/>
      <c r="K509"/>
      <c r="L509"/>
      <c r="P509" s="131" t="s">
        <v>152</v>
      </c>
      <c r="Q509" s="167">
        <f>Q503/T501</f>
        <v>0.125</v>
      </c>
      <c r="R509" s="27" t="s">
        <v>140</v>
      </c>
      <c r="S509" s="167" t="s">
        <v>163</v>
      </c>
      <c r="T509" s="27" t="s">
        <v>164</v>
      </c>
      <c r="U509" s="27"/>
      <c r="V509" s="27"/>
      <c r="W509" s="27"/>
      <c r="X509" s="26"/>
    </row>
    <row r="510" spans="2:24" ht="15.75">
      <c r="B510" s="90"/>
      <c r="C510"/>
      <c r="D510"/>
      <c r="E510"/>
      <c r="F510"/>
      <c r="G510"/>
      <c r="H510"/>
      <c r="I510"/>
      <c r="J510"/>
      <c r="K510"/>
      <c r="L510"/>
      <c r="P510" s="22"/>
      <c r="Q510" s="27"/>
      <c r="R510" s="167">
        <f>R504</f>
        <v>0.5</v>
      </c>
      <c r="S510" s="167">
        <f>S504</f>
        <v>-0.5</v>
      </c>
      <c r="T510" s="27"/>
      <c r="U510" s="27"/>
      <c r="V510" s="27"/>
      <c r="W510" s="27"/>
      <c r="X510" s="26"/>
    </row>
    <row r="511" spans="2:24" ht="15.75">
      <c r="B511" s="90"/>
      <c r="C511"/>
      <c r="D511"/>
      <c r="E511"/>
      <c r="F511"/>
      <c r="G511"/>
      <c r="H511"/>
      <c r="I511"/>
      <c r="J511"/>
      <c r="K511"/>
      <c r="L511"/>
      <c r="P511" s="131" t="s">
        <v>156</v>
      </c>
      <c r="Q511" s="167">
        <f>Q505/T505</f>
        <v>0.125</v>
      </c>
      <c r="R511" s="27" t="s">
        <v>140</v>
      </c>
      <c r="S511" s="167" t="s">
        <v>166</v>
      </c>
      <c r="T511" s="27" t="s">
        <v>164</v>
      </c>
      <c r="U511" s="27"/>
      <c r="V511" s="27"/>
      <c r="W511" s="27"/>
      <c r="X511" s="26"/>
    </row>
    <row r="512" spans="2:24" ht="15.75">
      <c r="B512" s="90"/>
      <c r="C512"/>
      <c r="D512"/>
      <c r="E512"/>
      <c r="F512"/>
      <c r="G512"/>
      <c r="H512"/>
      <c r="I512"/>
      <c r="J512"/>
      <c r="K512"/>
      <c r="L512"/>
      <c r="P512" s="22"/>
      <c r="Q512" s="27"/>
      <c r="R512" s="27"/>
      <c r="S512" s="27"/>
      <c r="T512" s="27"/>
      <c r="U512" s="27"/>
      <c r="V512" s="27"/>
      <c r="W512" s="27"/>
      <c r="X512" s="26"/>
    </row>
    <row r="513" spans="2:24" ht="15.75">
      <c r="B513" s="90"/>
      <c r="C513"/>
      <c r="D513"/>
      <c r="E513"/>
      <c r="F513"/>
      <c r="G513"/>
      <c r="H513"/>
      <c r="I513"/>
      <c r="J513"/>
      <c r="K513"/>
      <c r="L513"/>
      <c r="P513" s="131" t="s">
        <v>169</v>
      </c>
      <c r="Q513" s="167">
        <f>Q511/Q509</f>
        <v>1</v>
      </c>
      <c r="R513" s="27" t="s">
        <v>170</v>
      </c>
      <c r="S513" s="27"/>
      <c r="T513" s="27"/>
      <c r="U513" s="27"/>
      <c r="V513" s="27"/>
      <c r="W513" s="27"/>
      <c r="X513" s="26"/>
    </row>
    <row r="514" spans="2:24" ht="15.75">
      <c r="B514" s="90"/>
      <c r="C514"/>
      <c r="D514"/>
      <c r="E514"/>
      <c r="F514"/>
      <c r="G514"/>
      <c r="H514"/>
      <c r="I514"/>
      <c r="J514"/>
      <c r="K514"/>
      <c r="L514"/>
      <c r="P514" s="22"/>
      <c r="Q514" s="172">
        <f>Q499</f>
        <v>40</v>
      </c>
      <c r="R514" s="27" t="s">
        <v>173</v>
      </c>
      <c r="S514" s="107">
        <f>Q500</f>
        <v>40</v>
      </c>
      <c r="T514" s="167">
        <f>Q513</f>
        <v>1</v>
      </c>
      <c r="U514" s="27" t="s">
        <v>174</v>
      </c>
      <c r="V514" s="172">
        <f>Q497</f>
        <v>59.290166666666664</v>
      </c>
      <c r="W514" s="27"/>
      <c r="X514" s="26"/>
    </row>
    <row r="515" spans="2:24" ht="13.5">
      <c r="B515" s="90"/>
      <c r="C515" s="1"/>
      <c r="P515" s="22"/>
      <c r="Q515" s="172">
        <f>Q514</f>
        <v>40</v>
      </c>
      <c r="R515" s="27" t="s">
        <v>149</v>
      </c>
      <c r="S515" s="172">
        <f>S514*T514</f>
        <v>40</v>
      </c>
      <c r="T515" s="27" t="s">
        <v>175</v>
      </c>
      <c r="U515" s="169">
        <f>V514</f>
        <v>59.290166666666664</v>
      </c>
      <c r="V515" s="27"/>
      <c r="W515" s="27"/>
      <c r="X515" s="26"/>
    </row>
    <row r="516" spans="2:24" ht="15" thickBot="1">
      <c r="B516" s="91" t="s">
        <v>267</v>
      </c>
      <c r="C516" s="1"/>
      <c r="I516"/>
      <c r="P516" s="22"/>
      <c r="Q516" s="172">
        <f>SUM(Q515,S515)</f>
        <v>80</v>
      </c>
      <c r="R516" s="27" t="s">
        <v>176</v>
      </c>
      <c r="S516" s="169">
        <f>U515</f>
        <v>59.290166666666664</v>
      </c>
      <c r="T516" s="27" t="s">
        <v>177</v>
      </c>
      <c r="U516" s="169"/>
      <c r="V516" s="27"/>
      <c r="W516" s="27"/>
      <c r="X516" s="26"/>
    </row>
    <row r="517" spans="2:24" ht="12.75">
      <c r="B517" s="30"/>
      <c r="C517" s="1"/>
      <c r="I517"/>
      <c r="P517" s="22"/>
      <c r="Q517" s="124" t="s">
        <v>178</v>
      </c>
      <c r="R517" s="125">
        <f>U515/(Q515+S515)</f>
        <v>0.7411270833333333</v>
      </c>
      <c r="S517" s="27" t="s">
        <v>179</v>
      </c>
      <c r="T517" s="27"/>
      <c r="U517" s="27"/>
      <c r="V517" s="27"/>
      <c r="W517" s="27"/>
      <c r="X517" s="26"/>
    </row>
    <row r="518" spans="2:24" ht="15" thickBot="1">
      <c r="B518" s="94">
        <v>13</v>
      </c>
      <c r="C518" s="92" t="s">
        <v>268</v>
      </c>
      <c r="H518" s="17"/>
      <c r="I518"/>
      <c r="P518" s="22"/>
      <c r="Q518" s="166" t="s">
        <v>27</v>
      </c>
      <c r="R518" s="175">
        <f>(U515-(Q507*R517))/Q500</f>
        <v>0.7411270833333333</v>
      </c>
      <c r="S518" s="27" t="s">
        <v>28</v>
      </c>
      <c r="T518" s="27"/>
      <c r="U518" s="27"/>
      <c r="V518" s="27"/>
      <c r="W518" s="27"/>
      <c r="X518" s="26"/>
    </row>
    <row r="519" spans="3:24" ht="15" thickBot="1">
      <c r="C519" s="141"/>
      <c r="D519" s="100" t="s">
        <v>269</v>
      </c>
      <c r="E519" s="488">
        <f>G28</f>
        <v>1.553</v>
      </c>
      <c r="F519" s="90" t="s">
        <v>270</v>
      </c>
      <c r="I519"/>
      <c r="P519" s="174"/>
      <c r="Q519" s="89" t="s">
        <v>139</v>
      </c>
      <c r="R519" s="137">
        <f>Q496*(R517^R495)*(R518^S495)</f>
        <v>7.411270833333333</v>
      </c>
      <c r="S519" s="14"/>
      <c r="T519" s="14"/>
      <c r="U519" s="14"/>
      <c r="V519" s="14"/>
      <c r="W519" s="14"/>
      <c r="X519" s="145"/>
    </row>
    <row r="520" spans="3:9" ht="13.5">
      <c r="C520" s="141"/>
      <c r="D520" s="100" t="s">
        <v>271</v>
      </c>
      <c r="E520" s="489">
        <f>G29</f>
        <v>20</v>
      </c>
      <c r="F520" s="90" t="s">
        <v>272</v>
      </c>
      <c r="I520"/>
    </row>
    <row r="521" spans="3:9" ht="15" thickBot="1">
      <c r="C521" s="141"/>
      <c r="D521" s="100" t="s">
        <v>273</v>
      </c>
      <c r="E521" s="511">
        <f>D404</f>
        <v>7.411270833333333</v>
      </c>
      <c r="F521" s="90" t="s">
        <v>274</v>
      </c>
      <c r="G521" s="90"/>
      <c r="I521"/>
    </row>
    <row r="522" spans="2:9" ht="15" thickBot="1">
      <c r="B522" s="91"/>
      <c r="C522" s="90"/>
      <c r="D522" s="103" t="s">
        <v>275</v>
      </c>
      <c r="E522" s="461">
        <f>SQRT((2*E519*E521)/E520)</f>
        <v>1.0728328669539664</v>
      </c>
      <c r="F522" s="90" t="s">
        <v>276</v>
      </c>
      <c r="G522" s="90"/>
      <c r="I522"/>
    </row>
    <row r="523" spans="2:9" ht="15" thickBot="1">
      <c r="B523" s="91"/>
      <c r="C523" s="90"/>
      <c r="D523" s="103" t="s">
        <v>139</v>
      </c>
      <c r="E523" s="461">
        <f>E521-E522</f>
        <v>6.338437966379367</v>
      </c>
      <c r="F523" s="90" t="s">
        <v>277</v>
      </c>
      <c r="G523" s="90"/>
      <c r="I523"/>
    </row>
    <row r="524" spans="2:9" ht="15" thickBot="1">
      <c r="B524" s="91"/>
      <c r="C524" s="90"/>
      <c r="D524" s="90"/>
      <c r="E524" s="5"/>
      <c r="G524" s="90"/>
      <c r="I524"/>
    </row>
    <row r="525" spans="2:11" ht="15" thickBot="1">
      <c r="B525" s="91" t="s">
        <v>278</v>
      </c>
      <c r="C525" s="90"/>
      <c r="D525" s="90"/>
      <c r="E525" s="5"/>
      <c r="G525" s="485">
        <f>E522/E521</f>
        <v>0.1447569372487017</v>
      </c>
      <c r="H525" s="113" t="s">
        <v>279</v>
      </c>
      <c r="I525"/>
      <c r="J525"/>
      <c r="K525"/>
    </row>
    <row r="526" spans="2:9" ht="15" thickBot="1">
      <c r="B526"/>
      <c r="C526" s="142" t="str">
        <f>IF(G525&lt;$G$30,"less than the","greater than the")</f>
        <v>less than the</v>
      </c>
      <c r="D526" s="485">
        <f>$G$30</f>
        <v>0.2</v>
      </c>
      <c r="E526" s="113" t="s">
        <v>280</v>
      </c>
      <c r="G526" s="90"/>
      <c r="I526"/>
    </row>
    <row r="527" spans="2:9" ht="13.5">
      <c r="B527" s="91"/>
      <c r="C527" s="90"/>
      <c r="D527" s="90"/>
      <c r="E527" s="5"/>
      <c r="G527" s="90"/>
      <c r="I527"/>
    </row>
    <row r="528" spans="2:9" ht="13.5">
      <c r="B528" s="91" t="s">
        <v>426</v>
      </c>
      <c r="C528" s="90"/>
      <c r="D528" s="90"/>
      <c r="E528" s="133"/>
      <c r="F528" s="90"/>
      <c r="G528" s="90"/>
      <c r="I528"/>
    </row>
    <row r="529" spans="2:9" ht="13.5">
      <c r="B529" s="91" t="s">
        <v>427</v>
      </c>
      <c r="C529" s="90"/>
      <c r="D529" s="90"/>
      <c r="E529" s="133"/>
      <c r="F529" s="90"/>
      <c r="G529" s="90"/>
      <c r="I529"/>
    </row>
    <row r="530" spans="2:9" ht="15" thickBot="1">
      <c r="B530" s="91"/>
      <c r="C530" s="90"/>
      <c r="D530" s="90"/>
      <c r="E530" s="5"/>
      <c r="G530" s="90"/>
      <c r="I530"/>
    </row>
    <row r="531" spans="2:9" ht="16.5" thickBot="1">
      <c r="B531" s="94" t="s">
        <v>428</v>
      </c>
      <c r="C531" s="114" t="s">
        <v>268</v>
      </c>
      <c r="D531" s="90"/>
      <c r="E531" s="245"/>
      <c r="F531" s="486">
        <f>E522</f>
        <v>1.0728328669539664</v>
      </c>
      <c r="H531" s="90"/>
      <c r="I531"/>
    </row>
    <row r="532" spans="2:9" ht="15" thickBot="1">
      <c r="B532" s="94"/>
      <c r="C532" s="91"/>
      <c r="D532" s="90"/>
      <c r="E532" s="90"/>
      <c r="F532" s="100"/>
      <c r="H532" s="90"/>
      <c r="I532"/>
    </row>
    <row r="533" spans="2:12" ht="16.5" thickBot="1">
      <c r="B533" s="94" t="s">
        <v>429</v>
      </c>
      <c r="C533" s="114" t="s">
        <v>430</v>
      </c>
      <c r="D533" s="90"/>
      <c r="E533" s="245"/>
      <c r="F533" s="443">
        <f>E519*F531</f>
        <v>1.6661094423795098</v>
      </c>
      <c r="G533" s="113" t="s">
        <v>336</v>
      </c>
      <c r="H533"/>
      <c r="I533"/>
      <c r="J533"/>
      <c r="K533"/>
      <c r="L533"/>
    </row>
    <row r="534" spans="2:10" ht="15" thickBot="1">
      <c r="B534"/>
      <c r="C534" s="487">
        <f>E519</f>
        <v>1.553</v>
      </c>
      <c r="D534" s="90" t="s">
        <v>288</v>
      </c>
      <c r="E534" s="90"/>
      <c r="F534" s="90"/>
      <c r="G534" s="142"/>
      <c r="H534" s="140"/>
      <c r="I534"/>
      <c r="J534" s="90"/>
    </row>
    <row r="535" spans="2:9" ht="15" thickBot="1">
      <c r="B535" s="91"/>
      <c r="C535" s="90"/>
      <c r="D535" s="90"/>
      <c r="E535" s="100"/>
      <c r="F535" s="90"/>
      <c r="G535" s="90"/>
      <c r="I535"/>
    </row>
    <row r="536" spans="2:16" ht="16.5" thickBot="1">
      <c r="B536" s="94" t="s">
        <v>431</v>
      </c>
      <c r="C536" s="114" t="s">
        <v>432</v>
      </c>
      <c r="D536" s="90"/>
      <c r="E536" s="245"/>
      <c r="F536" s="443">
        <f>E520*E522</f>
        <v>21.456657339079328</v>
      </c>
      <c r="G536" s="113" t="s">
        <v>336</v>
      </c>
      <c r="H536"/>
      <c r="I536"/>
      <c r="J536"/>
      <c r="K536"/>
      <c r="L536"/>
      <c r="M536"/>
      <c r="N536"/>
      <c r="O536"/>
      <c r="P536"/>
    </row>
    <row r="537" spans="2:9" ht="15" thickBot="1">
      <c r="B537"/>
      <c r="C537" s="487">
        <f>E520</f>
        <v>20</v>
      </c>
      <c r="D537" s="90" t="s">
        <v>433</v>
      </c>
      <c r="E537" s="90"/>
      <c r="F537" s="90"/>
      <c r="I537"/>
    </row>
    <row r="538" spans="2:9" ht="15" thickBot="1">
      <c r="B538" s="94"/>
      <c r="C538" s="90"/>
      <c r="D538" s="90"/>
      <c r="E538" s="100"/>
      <c r="F538" s="90"/>
      <c r="G538" s="90"/>
      <c r="I538"/>
    </row>
    <row r="539" spans="2:9" ht="16.5" thickBot="1">
      <c r="B539" s="94" t="s">
        <v>434</v>
      </c>
      <c r="C539" s="114" t="s">
        <v>435</v>
      </c>
      <c r="D539" s="90"/>
      <c r="E539" s="245"/>
      <c r="F539" s="443">
        <f>SUM(F533+F536)</f>
        <v>23.12276678145884</v>
      </c>
      <c r="G539" s="90"/>
      <c r="I539"/>
    </row>
    <row r="540" spans="2:9" ht="13.5">
      <c r="B540" s="91"/>
      <c r="C540" s="90"/>
      <c r="D540" s="90"/>
      <c r="E540" s="5"/>
      <c r="F540" s="90"/>
      <c r="G540" s="90"/>
      <c r="I540"/>
    </row>
    <row r="541" spans="2:9" ht="13.5">
      <c r="B541" s="91" t="s">
        <v>436</v>
      </c>
      <c r="C541" s="90"/>
      <c r="D541" s="90"/>
      <c r="E541" s="5"/>
      <c r="G541" s="90"/>
      <c r="I541"/>
    </row>
    <row r="542" spans="2:9" ht="13.5">
      <c r="B542" s="91" t="s">
        <v>437</v>
      </c>
      <c r="C542" s="90"/>
      <c r="D542" s="90"/>
      <c r="E542" s="5"/>
      <c r="G542" s="90"/>
      <c r="I542"/>
    </row>
    <row r="543" spans="2:9" ht="13.5">
      <c r="B543" s="91"/>
      <c r="C543" s="90"/>
      <c r="D543" s="90"/>
      <c r="E543" s="5"/>
      <c r="G543" s="90"/>
      <c r="I543"/>
    </row>
    <row r="544" spans="2:9" ht="15" thickBot="1">
      <c r="B544" s="218">
        <v>14</v>
      </c>
      <c r="C544" s="92" t="s">
        <v>438</v>
      </c>
      <c r="D544" s="90"/>
      <c r="E544" s="5"/>
      <c r="G544" s="90"/>
      <c r="I544"/>
    </row>
    <row r="545" spans="2:9" ht="16.5" thickBot="1">
      <c r="B545"/>
      <c r="C545" s="486">
        <f>E521/E522</f>
        <v>6.90813178978729</v>
      </c>
      <c r="D545" s="90" t="s">
        <v>439</v>
      </c>
      <c r="E545" s="245"/>
      <c r="F545" s="245"/>
      <c r="G545" s="245"/>
      <c r="H545" s="90"/>
      <c r="I545"/>
    </row>
    <row r="546" spans="2:9" ht="15" thickBot="1">
      <c r="B546" s="91"/>
      <c r="C546" s="90"/>
      <c r="D546" s="90"/>
      <c r="E546" s="100"/>
      <c r="F546" s="90"/>
      <c r="G546" s="90"/>
      <c r="H546" s="90"/>
      <c r="I546"/>
    </row>
    <row r="547" spans="2:9" ht="16.5" thickBot="1">
      <c r="B547" s="218">
        <v>15</v>
      </c>
      <c r="C547" s="92" t="s">
        <v>440</v>
      </c>
      <c r="D547" s="90"/>
      <c r="E547" s="100"/>
      <c r="F547" s="486">
        <f>365/E521</f>
        <v>49.249313404977215</v>
      </c>
      <c r="G547" s="245" t="s">
        <v>441</v>
      </c>
      <c r="H547" s="90"/>
      <c r="I547"/>
    </row>
    <row r="548" spans="2:9" ht="13.5">
      <c r="B548" s="90" t="s">
        <v>442</v>
      </c>
      <c r="C548" s="90"/>
      <c r="D548" s="90"/>
      <c r="E548" s="100"/>
      <c r="F548" s="90"/>
      <c r="G548" s="90"/>
      <c r="H548" s="90"/>
      <c r="I548"/>
    </row>
    <row r="549" spans="2:40" ht="15" thickBot="1">
      <c r="B549" s="91"/>
      <c r="C549" s="90"/>
      <c r="D549" s="90"/>
      <c r="E549" s="100"/>
      <c r="F549" s="90"/>
      <c r="G549" s="90"/>
      <c r="H549" s="90"/>
      <c r="I549"/>
      <c r="AB549" s="90"/>
      <c r="AC549" s="90"/>
      <c r="AD549" s="90"/>
      <c r="AE549" s="90"/>
      <c r="AF549" s="90"/>
      <c r="AG549" s="90"/>
      <c r="AH549" s="90"/>
      <c r="AI549" s="90"/>
      <c r="AJ549" s="90"/>
      <c r="AK549" s="90"/>
      <c r="AL549" s="90"/>
      <c r="AM549" s="90"/>
      <c r="AN549" s="90"/>
    </row>
    <row r="550" spans="2:27" ht="13.5">
      <c r="B550" s="91"/>
      <c r="C550" s="90"/>
      <c r="D550" s="90"/>
      <c r="E550" s="100" t="s">
        <v>296</v>
      </c>
      <c r="F550" s="488">
        <f>$G$17</f>
        <v>439.4125661827812</v>
      </c>
      <c r="G550" s="90"/>
      <c r="H550" s="90"/>
      <c r="I55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  <c r="AA550" s="90"/>
    </row>
    <row r="551" spans="1:40" s="90" customFormat="1" ht="13.5">
      <c r="A551" s="1"/>
      <c r="B551" s="91"/>
      <c r="E551" s="100" t="s">
        <v>297</v>
      </c>
      <c r="F551" s="489">
        <f>$F$539</f>
        <v>23.12276678145884</v>
      </c>
      <c r="I55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2:13" ht="16.5" thickBot="1">
      <c r="B552"/>
      <c r="C552" s="245"/>
      <c r="D552" s="245"/>
      <c r="E552" s="100" t="s">
        <v>298</v>
      </c>
      <c r="F552" s="490">
        <f>SUM(F550:F551)</f>
        <v>462.53533296424</v>
      </c>
      <c r="G552" s="245"/>
      <c r="H552" s="245"/>
      <c r="I552"/>
      <c r="J552"/>
      <c r="K552"/>
      <c r="L552"/>
      <c r="M552"/>
    </row>
    <row r="553" spans="2:12" ht="15.75">
      <c r="B553" s="91"/>
      <c r="C553" s="90"/>
      <c r="D553" s="90"/>
      <c r="E553" s="100"/>
      <c r="F553" s="245"/>
      <c r="G553" s="245"/>
      <c r="H553" s="245"/>
      <c r="I553"/>
      <c r="J553"/>
      <c r="K553"/>
      <c r="L553"/>
    </row>
    <row r="554" spans="2:12" ht="16.5" thickBot="1">
      <c r="B554" s="94" t="s">
        <v>443</v>
      </c>
      <c r="C554" s="114" t="s">
        <v>444</v>
      </c>
      <c r="D554" s="90"/>
      <c r="E554" s="245"/>
      <c r="F554" s="245"/>
      <c r="G554" s="245"/>
      <c r="H554" s="245"/>
      <c r="I554"/>
      <c r="J554"/>
      <c r="K554"/>
      <c r="L554"/>
    </row>
    <row r="555" spans="2:12" ht="13.5">
      <c r="B555" s="94"/>
      <c r="C555" s="254"/>
      <c r="D555" s="187"/>
      <c r="E555" s="187"/>
      <c r="F555" s="187"/>
      <c r="G555" s="187"/>
      <c r="H555" s="269">
        <f>G32</f>
        <v>2</v>
      </c>
      <c r="I555"/>
      <c r="J555" s="23"/>
      <c r="K555" s="110"/>
      <c r="L555" s="23"/>
    </row>
    <row r="556" spans="2:12" ht="15" thickBot="1">
      <c r="B556" s="94"/>
      <c r="C556" s="102" t="s">
        <v>23</v>
      </c>
      <c r="D556" s="512">
        <f>$F$552</f>
        <v>462.53533296424</v>
      </c>
      <c r="E556" s="206">
        <f>E338</f>
        <v>21.553</v>
      </c>
      <c r="F556" s="128" t="s">
        <v>24</v>
      </c>
      <c r="G556" s="206">
        <f>G338</f>
        <v>8</v>
      </c>
      <c r="H556" s="272" t="s">
        <v>25</v>
      </c>
      <c r="I556"/>
      <c r="J556" s="23"/>
      <c r="K556" s="110"/>
      <c r="L556" s="23"/>
    </row>
    <row r="557" spans="2:12" ht="13.5">
      <c r="B557" s="94"/>
      <c r="C557" s="90"/>
      <c r="D557" s="90"/>
      <c r="E557" s="100"/>
      <c r="F557" s="98"/>
      <c r="G557" s="513"/>
      <c r="H557" s="148"/>
      <c r="I557"/>
      <c r="J557" s="23"/>
      <c r="K557" s="110"/>
      <c r="L557" s="23"/>
    </row>
    <row r="558" spans="2:11" ht="15.75">
      <c r="B558" s="91"/>
      <c r="C558" s="90"/>
      <c r="D558" s="90"/>
      <c r="E558" s="100"/>
      <c r="F558" s="245"/>
      <c r="G558" s="245"/>
      <c r="H558" s="245"/>
      <c r="I558"/>
      <c r="J558"/>
      <c r="K558"/>
    </row>
    <row r="559" spans="2:11" ht="16.5" thickBot="1">
      <c r="B559" s="94" t="s">
        <v>320</v>
      </c>
      <c r="C559" s="114" t="s">
        <v>445</v>
      </c>
      <c r="D559" s="90"/>
      <c r="E559" s="245"/>
      <c r="F559" s="245"/>
      <c r="G559" s="245"/>
      <c r="H559" s="245"/>
      <c r="I559"/>
      <c r="J559"/>
      <c r="K559"/>
    </row>
    <row r="560" spans="2:11" ht="13.5">
      <c r="B560" s="94"/>
      <c r="C560" s="254"/>
      <c r="D560" s="187"/>
      <c r="E560" s="187"/>
      <c r="F560" s="187"/>
      <c r="G560" s="269">
        <f>H555-1</f>
        <v>1</v>
      </c>
      <c r="H560" s="156"/>
      <c r="I560"/>
      <c r="J560" s="110"/>
      <c r="K560" s="23"/>
    </row>
    <row r="561" spans="2:11" ht="15" thickBot="1">
      <c r="B561" s="94"/>
      <c r="C561" s="102" t="s">
        <v>117</v>
      </c>
      <c r="D561" s="206">
        <f>D179</f>
        <v>21.553</v>
      </c>
      <c r="E561" s="128" t="s">
        <v>446</v>
      </c>
      <c r="F561" s="206">
        <f>H555*G556</f>
        <v>16</v>
      </c>
      <c r="G561" s="272" t="s">
        <v>25</v>
      </c>
      <c r="H561" s="156"/>
      <c r="I561"/>
      <c r="J561" s="110"/>
      <c r="K561" s="23"/>
    </row>
    <row r="562" spans="2:11" ht="13.5">
      <c r="B562" s="94"/>
      <c r="C562" s="32"/>
      <c r="D562" s="110"/>
      <c r="E562" s="23"/>
      <c r="F562" s="110"/>
      <c r="G562" s="23"/>
      <c r="H562" s="23"/>
      <c r="I562"/>
      <c r="J562" s="110"/>
      <c r="K562" s="23"/>
    </row>
    <row r="563" spans="2:11" ht="13.5">
      <c r="B563" s="94"/>
      <c r="C563" s="32"/>
      <c r="D563" s="110"/>
      <c r="E563" s="23"/>
      <c r="F563" s="110"/>
      <c r="G563" s="23"/>
      <c r="H563" s="23"/>
      <c r="I563"/>
      <c r="J563" s="110"/>
      <c r="K563" s="23"/>
    </row>
    <row r="564" spans="2:11" ht="13.5">
      <c r="B564" s="94"/>
      <c r="C564" s="32"/>
      <c r="D564" s="110"/>
      <c r="E564" s="23"/>
      <c r="F564" s="110"/>
      <c r="G564" s="23"/>
      <c r="H564" s="23"/>
      <c r="I564"/>
      <c r="J564" s="110"/>
      <c r="K564" s="23"/>
    </row>
    <row r="565" spans="2:11" ht="15" thickBot="1">
      <c r="B565" s="94" t="s">
        <v>447</v>
      </c>
      <c r="C565" s="114" t="s">
        <v>448</v>
      </c>
      <c r="D565" s="90"/>
      <c r="E565"/>
      <c r="F565" s="110"/>
      <c r="G565" s="23"/>
      <c r="H565" s="23"/>
      <c r="I565"/>
      <c r="J565" s="110"/>
      <c r="K565" s="23"/>
    </row>
    <row r="566" spans="2:12" ht="13.5">
      <c r="B566" s="94"/>
      <c r="C566" s="101"/>
      <c r="D566" s="207"/>
      <c r="E566" s="205"/>
      <c r="F566" s="207"/>
      <c r="G566" s="205"/>
      <c r="H566" s="269">
        <f>G560</f>
        <v>1</v>
      </c>
      <c r="I566"/>
      <c r="J566"/>
      <c r="K566"/>
      <c r="L566"/>
    </row>
    <row r="567" spans="2:12" ht="15" thickBot="1">
      <c r="B567"/>
      <c r="C567" s="514">
        <f>C115</f>
        <v>140.13333333333333</v>
      </c>
      <c r="D567" s="206" t="s">
        <v>449</v>
      </c>
      <c r="E567" s="206">
        <f>D561</f>
        <v>21.553</v>
      </c>
      <c r="F567" s="206" t="s">
        <v>450</v>
      </c>
      <c r="G567" s="206">
        <f>F561</f>
        <v>16</v>
      </c>
      <c r="H567" s="272" t="s">
        <v>451</v>
      </c>
      <c r="I567"/>
      <c r="J567"/>
      <c r="K567"/>
      <c r="L567"/>
    </row>
    <row r="568" spans="2:11" ht="15" thickBot="1">
      <c r="B568" s="91"/>
      <c r="C568" s="90"/>
      <c r="D568" s="90"/>
      <c r="E568" s="100"/>
      <c r="F568" s="98"/>
      <c r="G568" s="148"/>
      <c r="H568" s="156"/>
      <c r="I568"/>
      <c r="J568" s="110"/>
      <c r="K568" s="23"/>
    </row>
    <row r="569" spans="2:11" ht="13.5">
      <c r="B569" s="91"/>
      <c r="C569" s="90"/>
      <c r="D569" s="90"/>
      <c r="E569" s="143" t="s">
        <v>14</v>
      </c>
      <c r="F569" s="248">
        <f>((C567-E567)/G567*(1+E525))^1/H566</f>
        <v>7.411270833333333</v>
      </c>
      <c r="G569" s="149" t="s">
        <v>452</v>
      </c>
      <c r="H569" s="156"/>
      <c r="I569"/>
      <c r="J569" s="110"/>
      <c r="K569" s="23"/>
    </row>
    <row r="570" spans="2:11" ht="13.5">
      <c r="B570" s="91"/>
      <c r="C570" s="90"/>
      <c r="D570" s="90"/>
      <c r="E570" s="144" t="s">
        <v>453</v>
      </c>
      <c r="F570" s="515">
        <f>F569*G525</f>
        <v>1.0728328669539664</v>
      </c>
      <c r="G570" s="149" t="s">
        <v>454</v>
      </c>
      <c r="H570" s="156"/>
      <c r="I570"/>
      <c r="J570" s="110"/>
      <c r="K570" s="23"/>
    </row>
    <row r="571" spans="2:11" ht="15" thickBot="1">
      <c r="B571" s="91"/>
      <c r="C571" s="90"/>
      <c r="D571" s="90"/>
      <c r="E571" s="224" t="s">
        <v>139</v>
      </c>
      <c r="F571" s="516">
        <f>F569-F570</f>
        <v>6.338437966379367</v>
      </c>
      <c r="G571" s="149" t="s">
        <v>455</v>
      </c>
      <c r="H571" s="156"/>
      <c r="I571"/>
      <c r="J571" s="110"/>
      <c r="K571" s="23"/>
    </row>
    <row r="572" spans="2:11" ht="13.5">
      <c r="B572" s="91"/>
      <c r="C572" s="90"/>
      <c r="D572" s="90"/>
      <c r="E572" s="100"/>
      <c r="F572" s="98"/>
      <c r="G572" s="148"/>
      <c r="H572" s="156"/>
      <c r="I572"/>
      <c r="J572" s="110"/>
      <c r="K572" s="23"/>
    </row>
    <row r="573" spans="2:11" ht="13.5">
      <c r="B573" s="91" t="s">
        <v>456</v>
      </c>
      <c r="C573" s="90"/>
      <c r="D573" s="90"/>
      <c r="E573" s="100"/>
      <c r="F573" s="389"/>
      <c r="G573" s="149"/>
      <c r="H573" s="156"/>
      <c r="I573"/>
      <c r="J573" s="110"/>
      <c r="K573" s="23"/>
    </row>
    <row r="574" spans="2:11" ht="15" thickBot="1">
      <c r="B574" s="91"/>
      <c r="C574" s="90"/>
      <c r="D574" s="90"/>
      <c r="E574" s="100"/>
      <c r="F574" s="389"/>
      <c r="G574" s="149"/>
      <c r="H574" s="156"/>
      <c r="I574"/>
      <c r="J574" s="110"/>
      <c r="K574" s="23"/>
    </row>
    <row r="575" spans="2:15" ht="15" thickBot="1">
      <c r="B575" s="251"/>
      <c r="C575" s="440" t="s">
        <v>125</v>
      </c>
      <c r="D575" s="495">
        <f>F569*C400</f>
        <v>1038.566086111111</v>
      </c>
      <c r="E575" s="90" t="s">
        <v>457</v>
      </c>
      <c r="F575" s="486">
        <f>F569</f>
        <v>7.411270833333333</v>
      </c>
      <c r="G575" s="142" t="s">
        <v>458</v>
      </c>
      <c r="H575" s="487">
        <f>C400</f>
        <v>140.13333333333333</v>
      </c>
      <c r="I575"/>
      <c r="J575"/>
      <c r="N575"/>
      <c r="O575"/>
    </row>
    <row r="576" spans="2:15" ht="13.5">
      <c r="B576" s="253"/>
      <c r="C576" s="298" t="s">
        <v>126</v>
      </c>
      <c r="D576" s="496">
        <f>D556+E556*F569+G556*(F569^H555)</f>
        <v>1061.6859361552122</v>
      </c>
      <c r="E576" s="90" t="s">
        <v>459</v>
      </c>
      <c r="F576" s="90"/>
      <c r="G576" s="90"/>
      <c r="H576" s="90"/>
      <c r="I576"/>
      <c r="N576"/>
      <c r="O576"/>
    </row>
    <row r="577" spans="2:15" ht="15" thickBot="1">
      <c r="B577" s="252"/>
      <c r="C577" s="467" t="s">
        <v>127</v>
      </c>
      <c r="D577" s="497">
        <f>D575-D576</f>
        <v>-23.119850044101213</v>
      </c>
      <c r="E577" s="90"/>
      <c r="F577" s="90"/>
      <c r="G577" s="90"/>
      <c r="H577" s="90"/>
      <c r="I577"/>
      <c r="N577"/>
      <c r="O577"/>
    </row>
    <row r="578" spans="2:9" ht="13.5">
      <c r="B578" s="91"/>
      <c r="C578" s="90"/>
      <c r="D578" s="90"/>
      <c r="E578" s="32"/>
      <c r="F578" s="183"/>
      <c r="G578" s="90"/>
      <c r="I578"/>
    </row>
    <row r="579" spans="2:15" ht="13.5">
      <c r="B579" s="91" t="s">
        <v>460</v>
      </c>
      <c r="C579" s="90"/>
      <c r="D579" s="90"/>
      <c r="E579" s="32"/>
      <c r="F579" s="183"/>
      <c r="G579" s="90"/>
      <c r="I579"/>
      <c r="O579"/>
    </row>
    <row r="580" spans="2:15" ht="13.5">
      <c r="B580" s="91" t="s">
        <v>461</v>
      </c>
      <c r="C580" s="90"/>
      <c r="D580" s="90"/>
      <c r="E580" s="32"/>
      <c r="F580" s="183"/>
      <c r="G580" s="90"/>
      <c r="I580"/>
      <c r="O580"/>
    </row>
    <row r="581" spans="2:15" ht="13.5">
      <c r="B581" s="91" t="s">
        <v>462</v>
      </c>
      <c r="C581" s="90"/>
      <c r="D581" s="90"/>
      <c r="E581" s="32"/>
      <c r="F581" s="183"/>
      <c r="G581" s="90"/>
      <c r="I581"/>
      <c r="O581"/>
    </row>
    <row r="582" spans="2:15" ht="13.5">
      <c r="B582" s="91"/>
      <c r="C582" s="90"/>
      <c r="D582" s="90"/>
      <c r="E582" s="32"/>
      <c r="F582" s="183"/>
      <c r="G582" s="90"/>
      <c r="I582"/>
      <c r="O582"/>
    </row>
    <row r="583" spans="2:15" ht="13.5">
      <c r="B583" s="91" t="s">
        <v>463</v>
      </c>
      <c r="C583" s="90"/>
      <c r="D583" s="90"/>
      <c r="E583" s="5"/>
      <c r="G583" s="90"/>
      <c r="I583"/>
      <c r="O583"/>
    </row>
    <row r="584" spans="2:15" ht="13.5">
      <c r="B584" s="91" t="s">
        <v>464</v>
      </c>
      <c r="C584" s="90"/>
      <c r="D584" s="90"/>
      <c r="E584" s="5"/>
      <c r="G584" s="90"/>
      <c r="I584"/>
      <c r="O584"/>
    </row>
    <row r="585" spans="2:15" ht="13.5">
      <c r="B585" s="91" t="s">
        <v>465</v>
      </c>
      <c r="C585" s="90"/>
      <c r="D585" s="90"/>
      <c r="E585" s="5"/>
      <c r="G585" s="90"/>
      <c r="I585"/>
      <c r="O585"/>
    </row>
    <row r="586" spans="2:15" ht="15" thickBot="1">
      <c r="B586" s="91"/>
      <c r="C586" s="90"/>
      <c r="D586" s="90"/>
      <c r="E586" s="5"/>
      <c r="G586" s="90"/>
      <c r="I586"/>
      <c r="O586"/>
    </row>
    <row r="587" spans="2:15" ht="13.5">
      <c r="B587" s="254"/>
      <c r="C587" s="369" t="s">
        <v>34</v>
      </c>
      <c r="D587" s="248">
        <f>R517</f>
        <v>0.7411270833333333</v>
      </c>
      <c r="E587" s="113"/>
      <c r="F587" s="90"/>
      <c r="G587" s="98" t="s">
        <v>195</v>
      </c>
      <c r="H587" s="447">
        <f>G556*F569</f>
        <v>59.290166666666664</v>
      </c>
      <c r="I587" s="23"/>
      <c r="J587" s="110"/>
      <c r="K587" s="23"/>
      <c r="O587"/>
    </row>
    <row r="588" spans="2:10" ht="13.5">
      <c r="B588" s="257"/>
      <c r="C588" s="436" t="s">
        <v>35</v>
      </c>
      <c r="D588" s="515">
        <f>R518</f>
        <v>0.7411270833333333</v>
      </c>
      <c r="E588" s="100"/>
      <c r="F588" s="90"/>
      <c r="G588" s="98" t="s">
        <v>196</v>
      </c>
      <c r="H588" s="517">
        <f>(G556*(F569)^H555)-H587</f>
        <v>380.1253162534722</v>
      </c>
      <c r="I588"/>
      <c r="J588"/>
    </row>
    <row r="589" spans="2:10" ht="13.5">
      <c r="B589" s="257"/>
      <c r="C589" s="436" t="s">
        <v>466</v>
      </c>
      <c r="D589" s="515">
        <f>$F$571</f>
        <v>6.338437966379367</v>
      </c>
      <c r="E589" s="100"/>
      <c r="F589" s="90"/>
      <c r="G589" s="98" t="s">
        <v>198</v>
      </c>
      <c r="H589" s="517">
        <f>E556*F569</f>
        <v>159.73512027083333</v>
      </c>
      <c r="I589"/>
      <c r="J589"/>
    </row>
    <row r="590" spans="2:10" ht="13.5">
      <c r="B590" s="257"/>
      <c r="C590" s="436" t="s">
        <v>467</v>
      </c>
      <c r="D590" s="515">
        <f>$F$570</f>
        <v>1.0728328669539664</v>
      </c>
      <c r="E590" s="100"/>
      <c r="F590" s="90"/>
      <c r="G590" s="98" t="s">
        <v>200</v>
      </c>
      <c r="H590" s="517">
        <f>D556</f>
        <v>462.53533296424</v>
      </c>
      <c r="I590"/>
      <c r="J590"/>
    </row>
    <row r="591" spans="2:10" ht="15" thickBot="1">
      <c r="B591" s="256"/>
      <c r="C591" s="99" t="s">
        <v>468</v>
      </c>
      <c r="D591" s="408">
        <f>$F$569</f>
        <v>7.411270833333333</v>
      </c>
      <c r="E591" s="100"/>
      <c r="F591" s="90"/>
      <c r="G591" s="98" t="s">
        <v>126</v>
      </c>
      <c r="H591" s="518">
        <f>SUM(H587:H590)</f>
        <v>1061.6859361552122</v>
      </c>
      <c r="I591"/>
      <c r="J591"/>
    </row>
    <row r="592" spans="2:10" ht="12.75">
      <c r="B592"/>
      <c r="C592"/>
      <c r="D592"/>
      <c r="E592"/>
      <c r="F592"/>
      <c r="G592"/>
      <c r="H592"/>
      <c r="I592"/>
      <c r="J592"/>
    </row>
    <row r="593" spans="2:8" ht="13.5">
      <c r="B593" s="90"/>
      <c r="C593" s="147"/>
      <c r="D593" s="98"/>
      <c r="E593" s="213"/>
      <c r="F593" s="114"/>
      <c r="G593" s="32"/>
      <c r="H593" s="183"/>
    </row>
    <row r="594" spans="2:8" ht="13.5">
      <c r="B594" s="90"/>
      <c r="C594" s="91"/>
      <c r="D594" s="90"/>
      <c r="E594" s="90"/>
      <c r="F594" s="5"/>
      <c r="G594"/>
      <c r="H594" s="90"/>
    </row>
    <row r="595" spans="2:8" ht="13.5">
      <c r="B595" s="90"/>
      <c r="C595" s="91"/>
      <c r="D595" s="90"/>
      <c r="E595" s="90"/>
      <c r="F595" s="5"/>
      <c r="H595" s="90"/>
    </row>
    <row r="596" spans="2:8" ht="13.5">
      <c r="B596" s="90"/>
      <c r="C596" s="91"/>
      <c r="D596" s="90"/>
      <c r="E596" s="90"/>
      <c r="F596" s="5"/>
      <c r="H596" s="90"/>
    </row>
    <row r="597" spans="2:8" ht="13.5">
      <c r="B597" s="90"/>
      <c r="C597" s="91"/>
      <c r="D597" s="90"/>
      <c r="E597" s="90"/>
      <c r="F597" s="5"/>
      <c r="H597" s="90"/>
    </row>
    <row r="598" spans="2:8" ht="13.5">
      <c r="B598" s="90"/>
      <c r="C598" s="91"/>
      <c r="D598" s="90"/>
      <c r="E598" s="90"/>
      <c r="F598" s="5"/>
      <c r="H598" s="90"/>
    </row>
    <row r="599" spans="2:8" ht="13.5">
      <c r="B599" s="90"/>
      <c r="C599" s="91"/>
      <c r="D599" s="90"/>
      <c r="E599" s="90"/>
      <c r="F599" s="5"/>
      <c r="H599" s="90"/>
    </row>
    <row r="600" spans="2:8" ht="13.5">
      <c r="B600" s="90"/>
      <c r="C600" s="91"/>
      <c r="D600" s="90"/>
      <c r="E600" s="90"/>
      <c r="F600" s="5"/>
      <c r="H600" s="90"/>
    </row>
    <row r="601" spans="2:8" ht="13.5">
      <c r="B601" s="90"/>
      <c r="C601" s="91"/>
      <c r="D601" s="90"/>
      <c r="E601" s="90"/>
      <c r="F601" s="5"/>
      <c r="H601" s="90"/>
    </row>
    <row r="602" spans="2:8" ht="13.5" customHeight="1">
      <c r="B602" s="90"/>
      <c r="C602" s="91"/>
      <c r="D602" s="90"/>
      <c r="E602" s="90"/>
      <c r="F602" s="5"/>
      <c r="H602" s="90"/>
    </row>
    <row r="603" spans="2:14" ht="13.5" customHeight="1">
      <c r="B603" s="90"/>
      <c r="C603" s="91"/>
      <c r="D603" s="90"/>
      <c r="E603" s="90"/>
      <c r="F603" s="5"/>
      <c r="H603" s="90"/>
      <c r="N603" s="90"/>
    </row>
    <row r="604" spans="2:8" ht="13.5" customHeight="1" thickBot="1">
      <c r="B604" s="90"/>
      <c r="C604" s="91"/>
      <c r="D604" s="90"/>
      <c r="E604" s="90"/>
      <c r="F604" s="5"/>
      <c r="H604" s="90"/>
    </row>
    <row r="605" spans="2:24" ht="13.5" customHeight="1">
      <c r="B605" s="90"/>
      <c r="C605" s="91"/>
      <c r="D605" s="90"/>
      <c r="E605" s="90"/>
      <c r="F605" s="5"/>
      <c r="H605" s="90"/>
      <c r="P605" s="178"/>
      <c r="Q605" s="179"/>
      <c r="R605" s="180">
        <f>$G$34</f>
        <v>0.5</v>
      </c>
      <c r="S605" s="181">
        <f>$G$35</f>
        <v>0.5</v>
      </c>
      <c r="T605" s="44" t="s">
        <v>138</v>
      </c>
      <c r="U605" s="44"/>
      <c r="V605" s="44"/>
      <c r="W605" s="44"/>
      <c r="X605" s="105"/>
    </row>
    <row r="606" spans="2:24" ht="13.5" customHeight="1" thickBot="1">
      <c r="B606" s="90"/>
      <c r="C606" s="91"/>
      <c r="D606" s="90"/>
      <c r="E606" s="90"/>
      <c r="F606" s="5"/>
      <c r="H606" s="90"/>
      <c r="P606" s="126" t="s">
        <v>139</v>
      </c>
      <c r="Q606" s="173">
        <f>$G$33</f>
        <v>10</v>
      </c>
      <c r="R606" s="35" t="s">
        <v>140</v>
      </c>
      <c r="S606" s="182" t="s">
        <v>141</v>
      </c>
      <c r="T606" s="167"/>
      <c r="U606" s="27"/>
      <c r="V606" s="27"/>
      <c r="W606" s="27"/>
      <c r="X606" s="26"/>
    </row>
    <row r="607" spans="2:24" ht="13.5" customHeight="1" thickBot="1">
      <c r="B607" s="90"/>
      <c r="C607" s="91"/>
      <c r="D607" s="90"/>
      <c r="E607" s="90"/>
      <c r="F607" s="5"/>
      <c r="H607" s="90"/>
      <c r="P607" s="131" t="s">
        <v>142</v>
      </c>
      <c r="Q607" s="160">
        <f>$G$19*$E$716</f>
        <v>63.86785083333159</v>
      </c>
      <c r="R607" s="27" t="s">
        <v>143</v>
      </c>
      <c r="S607" s="167"/>
      <c r="T607" s="167"/>
      <c r="U607" s="27"/>
      <c r="V607" s="27"/>
      <c r="W607" s="27"/>
      <c r="X607" s="26"/>
    </row>
    <row r="608" spans="2:24" ht="13.5" customHeight="1" thickBot="1">
      <c r="B608" s="90"/>
      <c r="C608" s="91"/>
      <c r="D608" s="90"/>
      <c r="E608" s="90"/>
      <c r="F608" s="5"/>
      <c r="H608" s="90"/>
      <c r="P608" s="131" t="s">
        <v>14</v>
      </c>
      <c r="Q608" s="139">
        <f>$E$716</f>
        <v>7.983481354166448</v>
      </c>
      <c r="R608" s="27"/>
      <c r="S608" s="167"/>
      <c r="T608" s="167"/>
      <c r="U608" s="27"/>
      <c r="V608" s="27"/>
      <c r="W608" s="27"/>
      <c r="X608" s="26"/>
    </row>
    <row r="609" spans="3:24" ht="13.5" customHeight="1">
      <c r="C609" s="91"/>
      <c r="D609" s="90"/>
      <c r="E609" s="90"/>
      <c r="F609" s="5"/>
      <c r="H609" s="90"/>
      <c r="P609" s="131" t="s">
        <v>144</v>
      </c>
      <c r="Q609" s="176">
        <f>$G$36</f>
        <v>40</v>
      </c>
      <c r="R609" s="27"/>
      <c r="S609" s="167"/>
      <c r="T609" s="167"/>
      <c r="U609" s="27"/>
      <c r="V609" s="27"/>
      <c r="W609" s="27"/>
      <c r="X609" s="26"/>
    </row>
    <row r="610" spans="3:24" ht="13.5" customHeight="1" thickBot="1">
      <c r="C610"/>
      <c r="D610" s="90"/>
      <c r="E610" s="90"/>
      <c r="F610" s="5"/>
      <c r="H610" s="90"/>
      <c r="P610" s="131" t="s">
        <v>87</v>
      </c>
      <c r="Q610" s="177">
        <f>$G$37</f>
        <v>40</v>
      </c>
      <c r="R610" s="170">
        <f>$G$34</f>
        <v>0.5</v>
      </c>
      <c r="S610" s="170">
        <f>$G$35</f>
        <v>0.5</v>
      </c>
      <c r="T610" s="27"/>
      <c r="U610" s="27"/>
      <c r="V610" s="27"/>
      <c r="W610" s="27"/>
      <c r="X610" s="26"/>
    </row>
    <row r="611" spans="3:24" ht="13.5" customHeight="1">
      <c r="C611"/>
      <c r="D611" s="90"/>
      <c r="E611" s="90"/>
      <c r="F611" s="5"/>
      <c r="H611" s="90"/>
      <c r="P611" s="131" t="s">
        <v>147</v>
      </c>
      <c r="Q611" s="106">
        <f>$G$33</f>
        <v>10</v>
      </c>
      <c r="R611" s="27" t="s">
        <v>140</v>
      </c>
      <c r="S611" s="167" t="s">
        <v>148</v>
      </c>
      <c r="T611" s="107">
        <f>$G$36</f>
        <v>40</v>
      </c>
      <c r="U611" s="27" t="s">
        <v>149</v>
      </c>
      <c r="V611" s="107">
        <f>$G$37</f>
        <v>40</v>
      </c>
      <c r="W611" s="27" t="s">
        <v>150</v>
      </c>
      <c r="X611" s="171">
        <f>-$Q$607</f>
        <v>-63.86785083333159</v>
      </c>
    </row>
    <row r="612" spans="2:24" ht="13.5" customHeight="1">
      <c r="B612" s="91" t="s">
        <v>469</v>
      </c>
      <c r="C612"/>
      <c r="D612" s="90"/>
      <c r="E612" s="90"/>
      <c r="P612" s="22"/>
      <c r="Q612" s="106"/>
      <c r="R612" s="170">
        <f>$G$34-1</f>
        <v>-0.5</v>
      </c>
      <c r="S612" s="170">
        <f>$G$35</f>
        <v>0.5</v>
      </c>
      <c r="T612" s="27"/>
      <c r="U612" s="27"/>
      <c r="V612" s="27"/>
      <c r="W612" s="27"/>
      <c r="X612" s="26"/>
    </row>
    <row r="613" spans="2:24" ht="13.5" customHeight="1">
      <c r="B613" s="91" t="s">
        <v>470</v>
      </c>
      <c r="C613"/>
      <c r="D613" s="90"/>
      <c r="E613" s="90"/>
      <c r="P613" s="131" t="s">
        <v>152</v>
      </c>
      <c r="Q613" s="106">
        <f>$G$34*$G$33</f>
        <v>5</v>
      </c>
      <c r="R613" s="27" t="s">
        <v>140</v>
      </c>
      <c r="S613" s="167" t="s">
        <v>148</v>
      </c>
      <c r="T613" s="107">
        <f>$G$36</f>
        <v>40</v>
      </c>
      <c r="U613" s="27" t="s">
        <v>153</v>
      </c>
      <c r="V613" s="27"/>
      <c r="W613" s="27"/>
      <c r="X613" s="26"/>
    </row>
    <row r="614" spans="2:24" ht="13.5" customHeight="1">
      <c r="B614" s="90" t="s">
        <v>471</v>
      </c>
      <c r="C614"/>
      <c r="D614" s="90"/>
      <c r="E614" s="90"/>
      <c r="P614" s="22"/>
      <c r="Q614" s="106"/>
      <c r="R614" s="170">
        <f>$G$34</f>
        <v>0.5</v>
      </c>
      <c r="S614" s="170">
        <f>$G$35-1</f>
        <v>-0.5</v>
      </c>
      <c r="T614" s="27"/>
      <c r="U614" s="27"/>
      <c r="V614" s="27"/>
      <c r="W614" s="27"/>
      <c r="X614" s="26"/>
    </row>
    <row r="615" spans="2:24" ht="13.5" customHeight="1">
      <c r="B615" s="90" t="s">
        <v>472</v>
      </c>
      <c r="C615"/>
      <c r="D615" s="90"/>
      <c r="E615" s="90"/>
      <c r="P615" s="131" t="s">
        <v>156</v>
      </c>
      <c r="Q615" s="106">
        <f>$G$35*$G$33</f>
        <v>5</v>
      </c>
      <c r="R615" s="27" t="s">
        <v>140</v>
      </c>
      <c r="S615" s="167" t="s">
        <v>148</v>
      </c>
      <c r="T615" s="107">
        <f>$G$37</f>
        <v>40</v>
      </c>
      <c r="U615" s="27" t="s">
        <v>157</v>
      </c>
      <c r="V615" s="27"/>
      <c r="W615" s="27"/>
      <c r="X615" s="26"/>
    </row>
    <row r="616" spans="2:24" ht="13.5" customHeight="1">
      <c r="B616" s="90"/>
      <c r="C616" s="90"/>
      <c r="D616" s="90"/>
      <c r="E616" s="90"/>
      <c r="P616" s="22"/>
      <c r="Q616" s="106"/>
      <c r="R616" s="27"/>
      <c r="S616" s="27"/>
      <c r="T616" s="27"/>
      <c r="U616" s="27"/>
      <c r="V616" s="27"/>
      <c r="W616" s="27"/>
      <c r="X616" s="26"/>
    </row>
    <row r="617" spans="2:24" ht="13.5" customHeight="1">
      <c r="B617" s="94" t="s">
        <v>473</v>
      </c>
      <c r="C617" s="90"/>
      <c r="D617" s="90"/>
      <c r="P617" s="153" t="s">
        <v>158</v>
      </c>
      <c r="Q617" s="107">
        <f>$G$36</f>
        <v>40</v>
      </c>
      <c r="R617" s="27" t="s">
        <v>159</v>
      </c>
      <c r="S617" s="107">
        <f>$G$37</f>
        <v>40</v>
      </c>
      <c r="T617" s="27" t="s">
        <v>160</v>
      </c>
      <c r="U617" s="169">
        <f>-$Q$607</f>
        <v>-63.86785083333159</v>
      </c>
      <c r="V617" s="27" t="s">
        <v>161</v>
      </c>
      <c r="W617" s="27"/>
      <c r="X617" s="26"/>
    </row>
    <row r="618" spans="3:24" ht="13.5">
      <c r="C618" s="90"/>
      <c r="D618" s="90"/>
      <c r="P618" s="22"/>
      <c r="Q618" s="27"/>
      <c r="R618" s="167">
        <f>R612</f>
        <v>-0.5</v>
      </c>
      <c r="S618" s="167">
        <f>S612</f>
        <v>0.5</v>
      </c>
      <c r="T618" s="27"/>
      <c r="U618" s="27"/>
      <c r="V618" s="27"/>
      <c r="W618" s="27"/>
      <c r="X618" s="26"/>
    </row>
    <row r="619" spans="2:24" ht="13.5">
      <c r="B619" s="90" t="s">
        <v>474</v>
      </c>
      <c r="C619" s="94"/>
      <c r="D619" s="90"/>
      <c r="E619" s="90"/>
      <c r="F619" s="90"/>
      <c r="G619" s="100"/>
      <c r="H619" s="90"/>
      <c r="I619"/>
      <c r="J619" s="3"/>
      <c r="K619" s="112"/>
      <c r="L619" s="92"/>
      <c r="P619" s="131" t="s">
        <v>152</v>
      </c>
      <c r="Q619" s="167">
        <f>$Q$172/$T$170</f>
        <v>0.125</v>
      </c>
      <c r="R619" s="27" t="s">
        <v>140</v>
      </c>
      <c r="S619" s="167" t="s">
        <v>163</v>
      </c>
      <c r="T619" s="27" t="s">
        <v>164</v>
      </c>
      <c r="U619" s="27"/>
      <c r="V619" s="27"/>
      <c r="W619" s="27"/>
      <c r="X619" s="26"/>
    </row>
    <row r="620" spans="2:24" ht="13.5">
      <c r="B620" s="91" t="s">
        <v>341</v>
      </c>
      <c r="C620" s="90"/>
      <c r="D620" s="90"/>
      <c r="E620" s="90"/>
      <c r="F620" s="100"/>
      <c r="G620" s="90"/>
      <c r="H620" s="3"/>
      <c r="I620"/>
      <c r="J620" s="112"/>
      <c r="K620" s="92"/>
      <c r="P620" s="22"/>
      <c r="Q620" s="27"/>
      <c r="R620" s="167">
        <f>$R$173</f>
        <v>0.5</v>
      </c>
      <c r="S620" s="167">
        <f>$S$173</f>
        <v>-0.5</v>
      </c>
      <c r="T620" s="27"/>
      <c r="U620" s="27"/>
      <c r="V620" s="27"/>
      <c r="W620" s="27"/>
      <c r="X620" s="26"/>
    </row>
    <row r="621" spans="2:24" ht="13.5">
      <c r="B621" s="91" t="s">
        <v>342</v>
      </c>
      <c r="C621" s="90"/>
      <c r="D621" s="90"/>
      <c r="E621" s="90"/>
      <c r="F621" s="100"/>
      <c r="G621" s="90"/>
      <c r="H621" s="3"/>
      <c r="I621"/>
      <c r="J621" s="112"/>
      <c r="K621" s="92"/>
      <c r="P621" s="131" t="s">
        <v>156</v>
      </c>
      <c r="Q621" s="167">
        <f>$Q$174/$T$174</f>
        <v>0.125</v>
      </c>
      <c r="R621" s="27" t="s">
        <v>140</v>
      </c>
      <c r="S621" s="167" t="s">
        <v>166</v>
      </c>
      <c r="T621" s="27" t="s">
        <v>164</v>
      </c>
      <c r="U621" s="27"/>
      <c r="V621" s="27"/>
      <c r="W621" s="27"/>
      <c r="X621" s="26"/>
    </row>
    <row r="622" spans="2:24" ht="13.5">
      <c r="B622" s="91" t="s">
        <v>343</v>
      </c>
      <c r="C622" s="90"/>
      <c r="D622" s="90"/>
      <c r="E622" s="90"/>
      <c r="F622" s="100"/>
      <c r="G622" s="90"/>
      <c r="H622" s="3"/>
      <c r="I622"/>
      <c r="J622" s="112"/>
      <c r="K622" s="92"/>
      <c r="P622" s="22"/>
      <c r="Q622" s="27"/>
      <c r="R622" s="27"/>
      <c r="S622" s="27"/>
      <c r="T622" s="27"/>
      <c r="U622" s="27"/>
      <c r="V622" s="27"/>
      <c r="W622" s="27"/>
      <c r="X622" s="26"/>
    </row>
    <row r="623" spans="2:24" ht="13.5">
      <c r="B623" s="91" t="s">
        <v>344</v>
      </c>
      <c r="C623" s="90"/>
      <c r="D623" s="90"/>
      <c r="E623" s="90"/>
      <c r="F623" s="100"/>
      <c r="G623" s="90"/>
      <c r="H623" s="3"/>
      <c r="I623"/>
      <c r="J623" s="112"/>
      <c r="K623" s="92"/>
      <c r="P623" s="131" t="s">
        <v>169</v>
      </c>
      <c r="Q623" s="167">
        <f>$Q$180/$Q$178</f>
        <v>1</v>
      </c>
      <c r="R623" s="27" t="s">
        <v>170</v>
      </c>
      <c r="S623" s="27"/>
      <c r="T623" s="27"/>
      <c r="U623" s="27"/>
      <c r="V623" s="27"/>
      <c r="W623" s="27"/>
      <c r="X623" s="26"/>
    </row>
    <row r="624" spans="2:24" ht="15" thickBot="1">
      <c r="B624" s="91"/>
      <c r="C624" s="90"/>
      <c r="D624" s="90"/>
      <c r="E624" s="90"/>
      <c r="F624" s="100"/>
      <c r="G624" s="90"/>
      <c r="H624" s="3"/>
      <c r="I624"/>
      <c r="J624" s="112"/>
      <c r="K624" s="92"/>
      <c r="P624" s="22"/>
      <c r="Q624" s="172">
        <f>$Q$168</f>
        <v>40</v>
      </c>
      <c r="R624" s="27" t="s">
        <v>173</v>
      </c>
      <c r="S624" s="107">
        <f>$Q$169</f>
        <v>40</v>
      </c>
      <c r="T624" s="167">
        <f>$Q$182</f>
        <v>1</v>
      </c>
      <c r="U624" s="27" t="s">
        <v>174</v>
      </c>
      <c r="V624" s="172">
        <f>$Q$607</f>
        <v>63.86785083333159</v>
      </c>
      <c r="W624" s="27"/>
      <c r="X624" s="26"/>
    </row>
    <row r="625" spans="2:24" ht="15" thickBot="1">
      <c r="B625" s="94">
        <v>16</v>
      </c>
      <c r="C625" s="132" t="s">
        <v>345</v>
      </c>
      <c r="D625"/>
      <c r="E625" s="519">
        <f ca="1">RAND()</f>
        <v>0.711326999999983</v>
      </c>
      <c r="F625" s="113" t="s">
        <v>346</v>
      </c>
      <c r="G625" s="112"/>
      <c r="H625" s="92"/>
      <c r="I625"/>
      <c r="P625" s="22"/>
      <c r="Q625" s="172">
        <f>$Q$183</f>
        <v>40</v>
      </c>
      <c r="R625" s="27" t="s">
        <v>149</v>
      </c>
      <c r="S625" s="172">
        <f>$S$183*$T$183</f>
        <v>40</v>
      </c>
      <c r="T625" s="27" t="s">
        <v>175</v>
      </c>
      <c r="U625" s="169">
        <f>$Q$607</f>
        <v>63.86785083333159</v>
      </c>
      <c r="V625" s="27"/>
      <c r="W625" s="27"/>
      <c r="X625" s="26"/>
    </row>
    <row r="626" spans="2:24" ht="15" thickBot="1">
      <c r="B626" s="91"/>
      <c r="C626" s="90"/>
      <c r="D626" s="90"/>
      <c r="E626" s="90"/>
      <c r="F626" s="100"/>
      <c r="G626" s="90"/>
      <c r="H626" s="3"/>
      <c r="I626"/>
      <c r="J626" s="112"/>
      <c r="K626" s="92"/>
      <c r="P626" s="22"/>
      <c r="Q626" s="172">
        <f>SUM($Q$184,$S$184)</f>
        <v>80</v>
      </c>
      <c r="R626" s="27" t="s">
        <v>176</v>
      </c>
      <c r="S626" s="169">
        <f>$Q$607</f>
        <v>63.86785083333159</v>
      </c>
      <c r="T626" s="27" t="s">
        <v>177</v>
      </c>
      <c r="U626" s="223"/>
      <c r="V626" s="27"/>
      <c r="W626" s="27"/>
      <c r="X626" s="26"/>
    </row>
    <row r="627" spans="2:24" ht="13.5">
      <c r="B627" s="91" t="s">
        <v>347</v>
      </c>
      <c r="C627" s="90"/>
      <c r="D627" s="90"/>
      <c r="E627" s="90"/>
      <c r="F627" s="100"/>
      <c r="G627" s="90"/>
      <c r="H627" s="3"/>
      <c r="I627"/>
      <c r="J627" s="112"/>
      <c r="K627" s="92"/>
      <c r="P627" s="22"/>
      <c r="Q627" s="124" t="s">
        <v>178</v>
      </c>
      <c r="R627" s="125">
        <f>$U$625/($Q$625+$S$625)</f>
        <v>0.7983481354166448</v>
      </c>
      <c r="S627" s="27" t="s">
        <v>179</v>
      </c>
      <c r="T627" s="27"/>
      <c r="U627" s="27"/>
      <c r="V627" s="27"/>
      <c r="W627" s="27"/>
      <c r="X627" s="26"/>
    </row>
    <row r="628" spans="2:24" ht="15" thickBot="1">
      <c r="B628" s="91" t="s">
        <v>348</v>
      </c>
      <c r="C628" s="90"/>
      <c r="D628" s="90"/>
      <c r="E628" s="90"/>
      <c r="F628" s="90"/>
      <c r="G628" s="113"/>
      <c r="H628" s="90"/>
      <c r="I628"/>
      <c r="J628" s="3"/>
      <c r="K628" s="112"/>
      <c r="L628" s="92"/>
      <c r="P628" s="22"/>
      <c r="Q628" s="166" t="s">
        <v>27</v>
      </c>
      <c r="R628" s="175">
        <f>($U$625-($G$36*$R$627))/$G$37</f>
        <v>0.7983481354166448</v>
      </c>
      <c r="S628" s="27" t="s">
        <v>28</v>
      </c>
      <c r="T628" s="27"/>
      <c r="U628" s="27"/>
      <c r="V628" s="27"/>
      <c r="W628" s="27"/>
      <c r="X628" s="26"/>
    </row>
    <row r="629" spans="2:24" ht="15" thickBot="1">
      <c r="B629" s="91" t="s">
        <v>349</v>
      </c>
      <c r="C629" s="90"/>
      <c r="D629" s="90"/>
      <c r="E629" s="90"/>
      <c r="F629" s="100"/>
      <c r="G629" s="90"/>
      <c r="H629" s="3"/>
      <c r="I629"/>
      <c r="J629" s="112"/>
      <c r="K629" s="92"/>
      <c r="P629" s="174"/>
      <c r="Q629" s="89" t="s">
        <v>139</v>
      </c>
      <c r="R629" s="137">
        <f>$G$33*($R$627^$G$34)*($R$627^$G$35)</f>
        <v>7.983481354166449</v>
      </c>
      <c r="S629" s="14"/>
      <c r="T629" s="14"/>
      <c r="U629" s="14"/>
      <c r="V629" s="14"/>
      <c r="W629" s="14"/>
      <c r="X629" s="145"/>
    </row>
    <row r="630" spans="2:24" ht="13.5">
      <c r="B630" s="90" t="s">
        <v>350</v>
      </c>
      <c r="G630" s="10"/>
      <c r="I630" s="2"/>
      <c r="J630" s="16"/>
      <c r="K630" s="4"/>
      <c r="M630" s="90"/>
      <c r="P630"/>
      <c r="Q630"/>
      <c r="R630"/>
      <c r="S630"/>
      <c r="T630"/>
      <c r="U630"/>
      <c r="V630"/>
      <c r="W630"/>
      <c r="X630"/>
    </row>
    <row r="631" spans="4:24" ht="13.5">
      <c r="D631" s="30"/>
      <c r="F631" s="114"/>
      <c r="G631"/>
      <c r="I631" s="2"/>
      <c r="J631" s="16"/>
      <c r="K631" s="4"/>
      <c r="P631"/>
      <c r="Q631"/>
      <c r="R631"/>
      <c r="S631"/>
      <c r="T631"/>
      <c r="U631"/>
      <c r="V631"/>
      <c r="W631"/>
      <c r="X631"/>
    </row>
    <row r="632" spans="4:24" ht="12.75">
      <c r="D632" s="30"/>
      <c r="H632" s="10"/>
      <c r="J632" s="2"/>
      <c r="K632" s="16"/>
      <c r="L632" s="4"/>
      <c r="P632"/>
      <c r="Q632"/>
      <c r="R632"/>
      <c r="S632"/>
      <c r="T632"/>
      <c r="U632"/>
      <c r="V632"/>
      <c r="W632"/>
      <c r="X632"/>
    </row>
    <row r="633" spans="4:24" ht="12.75">
      <c r="D633" s="30"/>
      <c r="E633" s="30"/>
      <c r="F633" s="30"/>
      <c r="G633" s="10" t="s">
        <v>351</v>
      </c>
      <c r="H633" s="12" t="s">
        <v>352</v>
      </c>
      <c r="I633" s="10"/>
      <c r="K633" s="2"/>
      <c r="L633" s="16"/>
      <c r="P633"/>
      <c r="Q633"/>
      <c r="R633"/>
      <c r="S633"/>
      <c r="T633"/>
      <c r="U633"/>
      <c r="V633"/>
      <c r="W633"/>
      <c r="X633"/>
    </row>
    <row r="634" spans="4:25" ht="12.75">
      <c r="D634" s="30"/>
      <c r="E634" s="30"/>
      <c r="F634" s="1">
        <v>0</v>
      </c>
      <c r="G634" s="1">
        <f aca="true" t="shared" si="23" ref="G634:G639">$G$82+$H$82*F634</f>
        <v>1230</v>
      </c>
      <c r="H634" s="17">
        <f>$E$650+$F$650*F634</f>
        <v>1312.3983149999685</v>
      </c>
      <c r="I634" s="10"/>
      <c r="K634" s="2"/>
      <c r="L634" s="16"/>
      <c r="Q634"/>
      <c r="R634"/>
      <c r="S634"/>
      <c r="T634"/>
      <c r="U634"/>
      <c r="V634"/>
      <c r="W634"/>
      <c r="X634"/>
      <c r="Y634"/>
    </row>
    <row r="635" spans="4:25" ht="12.75">
      <c r="D635" s="30"/>
      <c r="E635" s="30"/>
      <c r="F635" s="1">
        <v>15</v>
      </c>
      <c r="G635" s="1">
        <f t="shared" si="23"/>
        <v>1170</v>
      </c>
      <c r="H635" s="17">
        <f aca="true" t="shared" si="24" ref="H635:H647">IF((E$650+$F$650*F635)&gt;0,($E$650+$F$650*F635),0)</f>
        <v>1252.3983149999685</v>
      </c>
      <c r="I635" s="10"/>
      <c r="K635" s="2"/>
      <c r="L635" s="16"/>
      <c r="Q635"/>
      <c r="R635"/>
      <c r="S635"/>
      <c r="T635"/>
      <c r="U635"/>
      <c r="V635"/>
      <c r="W635"/>
      <c r="X635"/>
      <c r="Y635"/>
    </row>
    <row r="636" spans="4:25" ht="12.75">
      <c r="D636" s="30"/>
      <c r="E636" s="30"/>
      <c r="F636" s="1">
        <v>30</v>
      </c>
      <c r="G636" s="1">
        <f t="shared" si="23"/>
        <v>1110</v>
      </c>
      <c r="H636" s="17">
        <f t="shared" si="24"/>
        <v>1192.3983149999685</v>
      </c>
      <c r="I636" s="10"/>
      <c r="K636" s="2"/>
      <c r="L636" s="16"/>
      <c r="Q636"/>
      <c r="R636"/>
      <c r="S636"/>
      <c r="T636"/>
      <c r="U636"/>
      <c r="V636"/>
      <c r="W636"/>
      <c r="X636"/>
      <c r="Y636"/>
    </row>
    <row r="637" spans="4:25" ht="12.75">
      <c r="D637" s="30"/>
      <c r="E637" s="30"/>
      <c r="F637" s="1">
        <v>45</v>
      </c>
      <c r="G637" s="1">
        <f t="shared" si="23"/>
        <v>1050</v>
      </c>
      <c r="H637" s="17">
        <f t="shared" si="24"/>
        <v>1132.3983149999685</v>
      </c>
      <c r="I637" s="10"/>
      <c r="K637" s="2"/>
      <c r="L637" s="16"/>
      <c r="Q637"/>
      <c r="R637"/>
      <c r="S637"/>
      <c r="T637"/>
      <c r="U637"/>
      <c r="V637"/>
      <c r="W637"/>
      <c r="X637"/>
      <c r="Y637"/>
    </row>
    <row r="638" spans="4:25" ht="12.75">
      <c r="D638" s="30"/>
      <c r="E638" s="30"/>
      <c r="F638" s="1">
        <v>60</v>
      </c>
      <c r="G638" s="1">
        <f t="shared" si="23"/>
        <v>990</v>
      </c>
      <c r="H638" s="17">
        <f t="shared" si="24"/>
        <v>1072.3983149999685</v>
      </c>
      <c r="I638" s="10"/>
      <c r="K638" s="2"/>
      <c r="L638" s="16"/>
      <c r="Q638"/>
      <c r="R638"/>
      <c r="S638"/>
      <c r="T638"/>
      <c r="U638"/>
      <c r="V638"/>
      <c r="W638"/>
      <c r="X638"/>
      <c r="Y638"/>
    </row>
    <row r="639" spans="4:25" ht="12.75">
      <c r="D639" s="30"/>
      <c r="E639" s="30"/>
      <c r="F639" s="1">
        <v>75</v>
      </c>
      <c r="G639" s="1">
        <f t="shared" si="23"/>
        <v>930</v>
      </c>
      <c r="H639" s="17">
        <f t="shared" si="24"/>
        <v>1012.3983149999685</v>
      </c>
      <c r="I639" s="10"/>
      <c r="K639" s="2"/>
      <c r="L639" s="16"/>
      <c r="Q639"/>
      <c r="R639"/>
      <c r="S639"/>
      <c r="T639"/>
      <c r="U639"/>
      <c r="V639"/>
      <c r="W639"/>
      <c r="X639"/>
      <c r="Y639"/>
    </row>
    <row r="640" spans="4:25" ht="12.75">
      <c r="D640" s="30"/>
      <c r="E640" s="30"/>
      <c r="F640" s="1">
        <v>90</v>
      </c>
      <c r="G640" s="1">
        <f aca="true" t="shared" si="25" ref="G640:G647">IF(($G$82+$H$82*F640)&gt;0,($G$82+$H$82*F640),0)</f>
        <v>870</v>
      </c>
      <c r="H640" s="17">
        <f t="shared" si="24"/>
        <v>952.3983149999685</v>
      </c>
      <c r="I640" s="10"/>
      <c r="K640" s="2"/>
      <c r="L640" s="16"/>
      <c r="Q640"/>
      <c r="R640"/>
      <c r="S640"/>
      <c r="T640"/>
      <c r="U640"/>
      <c r="V640"/>
      <c r="W640"/>
      <c r="X640"/>
      <c r="Y640"/>
    </row>
    <row r="641" spans="4:12" ht="12">
      <c r="D641" s="30"/>
      <c r="E641" s="30"/>
      <c r="F641" s="1">
        <v>105</v>
      </c>
      <c r="G641" s="1">
        <f t="shared" si="25"/>
        <v>810</v>
      </c>
      <c r="H641" s="17">
        <f t="shared" si="24"/>
        <v>892.3983149999685</v>
      </c>
      <c r="I641" s="10"/>
      <c r="K641" s="2"/>
      <c r="L641" s="16"/>
    </row>
    <row r="642" spans="4:20" ht="12">
      <c r="D642" s="30"/>
      <c r="E642" s="30"/>
      <c r="F642" s="1">
        <v>120</v>
      </c>
      <c r="G642" s="1">
        <f t="shared" si="25"/>
        <v>750</v>
      </c>
      <c r="H642" s="17">
        <f t="shared" si="24"/>
        <v>832.3983149999685</v>
      </c>
      <c r="I642" s="10"/>
      <c r="K642" s="2"/>
      <c r="L642" s="16"/>
      <c r="M642" s="4"/>
      <c r="T642" s="17"/>
    </row>
    <row r="643" spans="4:15" ht="13.5">
      <c r="D643" s="30"/>
      <c r="E643" s="30"/>
      <c r="F643" s="1">
        <v>135</v>
      </c>
      <c r="G643" s="1">
        <f t="shared" si="25"/>
        <v>690</v>
      </c>
      <c r="H643" s="17">
        <f t="shared" si="24"/>
        <v>772.3983149999685</v>
      </c>
      <c r="I643" s="10"/>
      <c r="K643" s="2"/>
      <c r="L643" s="16"/>
      <c r="M643" s="4"/>
      <c r="O643" s="90"/>
    </row>
    <row r="644" spans="4:13" ht="12">
      <c r="D644" s="30"/>
      <c r="E644" s="30"/>
      <c r="F644" s="1">
        <v>150</v>
      </c>
      <c r="G644" s="1">
        <f t="shared" si="25"/>
        <v>630</v>
      </c>
      <c r="H644" s="17">
        <f t="shared" si="24"/>
        <v>712.3983149999685</v>
      </c>
      <c r="I644" s="10"/>
      <c r="K644" s="2"/>
      <c r="L644" s="16"/>
      <c r="M644" s="4"/>
    </row>
    <row r="645" spans="4:13" ht="12">
      <c r="D645" s="30"/>
      <c r="E645" s="30"/>
      <c r="F645" s="1">
        <v>165</v>
      </c>
      <c r="G645" s="1">
        <f t="shared" si="25"/>
        <v>570</v>
      </c>
      <c r="H645" s="17">
        <f t="shared" si="24"/>
        <v>652.3983149999685</v>
      </c>
      <c r="I645" s="10"/>
      <c r="K645" s="2"/>
      <c r="L645" s="16"/>
      <c r="M645" s="4"/>
    </row>
    <row r="646" spans="4:13" ht="12">
      <c r="D646" s="30"/>
      <c r="E646" s="30"/>
      <c r="F646" s="1">
        <v>180</v>
      </c>
      <c r="G646" s="1">
        <f t="shared" si="25"/>
        <v>510</v>
      </c>
      <c r="H646" s="17">
        <f t="shared" si="24"/>
        <v>592.3983149999685</v>
      </c>
      <c r="I646" s="10"/>
      <c r="K646" s="2"/>
      <c r="L646" s="16"/>
      <c r="M646" s="4"/>
    </row>
    <row r="647" spans="4:13" ht="12">
      <c r="D647" s="30"/>
      <c r="E647" s="30"/>
      <c r="F647" s="1">
        <v>195</v>
      </c>
      <c r="G647" s="1">
        <f t="shared" si="25"/>
        <v>450</v>
      </c>
      <c r="H647" s="17">
        <f t="shared" si="24"/>
        <v>532.3983149999685</v>
      </c>
      <c r="I647" s="10"/>
      <c r="K647" s="2"/>
      <c r="L647" s="16"/>
      <c r="M647" s="4"/>
    </row>
    <row r="648" spans="4:14" ht="13.5">
      <c r="D648" s="30"/>
      <c r="H648" s="10"/>
      <c r="J648" s="2"/>
      <c r="K648" s="16"/>
      <c r="L648" s="4"/>
      <c r="M648" s="4"/>
      <c r="N648" s="90"/>
    </row>
    <row r="649" spans="2:13" ht="16.5" thickBot="1">
      <c r="B649" s="94">
        <v>17</v>
      </c>
      <c r="C649" s="114" t="s">
        <v>353</v>
      </c>
      <c r="D649" s="100"/>
      <c r="E649" s="245"/>
      <c r="F649" s="245"/>
      <c r="G649" s="245"/>
      <c r="H649"/>
      <c r="I649"/>
      <c r="J649"/>
      <c r="M649" s="4"/>
    </row>
    <row r="650" spans="2:13" ht="15" thickBot="1">
      <c r="B650" s="94"/>
      <c r="C650" s="90"/>
      <c r="D650" s="103" t="s">
        <v>6</v>
      </c>
      <c r="E650" s="260">
        <f>$G$12*$E$625*1.5</f>
        <v>1312.3983149999685</v>
      </c>
      <c r="F650" s="241">
        <f>H82</f>
        <v>-4</v>
      </c>
      <c r="G650" s="242" t="s">
        <v>7</v>
      </c>
      <c r="H650" s="33"/>
      <c r="I650" s="23"/>
      <c r="J650"/>
      <c r="M650" s="4"/>
    </row>
    <row r="651" spans="2:13" ht="13.5">
      <c r="B651" s="91"/>
      <c r="C651" s="90"/>
      <c r="D651" s="90"/>
      <c r="E651" s="90"/>
      <c r="F651" s="90"/>
      <c r="G651" s="90"/>
      <c r="J651"/>
      <c r="M651" s="4"/>
    </row>
    <row r="652" spans="2:13" ht="16.5" thickBot="1">
      <c r="B652" s="94">
        <v>18</v>
      </c>
      <c r="C652" s="114" t="s">
        <v>354</v>
      </c>
      <c r="D652" s="100"/>
      <c r="E652" s="245"/>
      <c r="F652" s="245"/>
      <c r="G652" s="245"/>
      <c r="H652"/>
      <c r="I652"/>
      <c r="J652"/>
      <c r="M652" s="4"/>
    </row>
    <row r="653" spans="2:13" ht="15" thickBot="1">
      <c r="B653" s="94"/>
      <c r="C653" s="90"/>
      <c r="D653" s="103" t="s">
        <v>9</v>
      </c>
      <c r="E653" s="241">
        <f>G84</f>
        <v>3.9</v>
      </c>
      <c r="F653" s="241">
        <f>H84</f>
        <v>0.5</v>
      </c>
      <c r="G653" s="242" t="s">
        <v>10</v>
      </c>
      <c r="H653" s="33"/>
      <c r="I653" s="23"/>
      <c r="J653"/>
      <c r="M653" s="4"/>
    </row>
    <row r="654" spans="2:13" ht="15" thickBot="1">
      <c r="B654" s="91"/>
      <c r="C654" s="90"/>
      <c r="D654" s="90"/>
      <c r="E654" s="90"/>
      <c r="F654" s="90"/>
      <c r="G654" s="90"/>
      <c r="J654"/>
      <c r="M654" s="4"/>
    </row>
    <row r="655" spans="2:13" ht="15" thickBot="1">
      <c r="B655" s="31">
        <v>19</v>
      </c>
      <c r="C655" s="114" t="s">
        <v>355</v>
      </c>
      <c r="E655"/>
      <c r="F655"/>
      <c r="G655" s="486">
        <f>(E650-E653)/(-F650+F653)</f>
        <v>290.77740333332633</v>
      </c>
      <c r="J655"/>
      <c r="M655" s="4"/>
    </row>
    <row r="656" spans="2:13" ht="15" thickBot="1">
      <c r="B656" s="30"/>
      <c r="C656" s="1"/>
      <c r="G656" s="90"/>
      <c r="J656"/>
      <c r="M656" s="4"/>
    </row>
    <row r="657" spans="2:13" ht="15" thickBot="1">
      <c r="B657" s="31">
        <v>20</v>
      </c>
      <c r="C657" s="114" t="s">
        <v>356</v>
      </c>
      <c r="E657"/>
      <c r="F657"/>
      <c r="G657" s="487">
        <f>E653+F653*G655</f>
        <v>149.28870166666317</v>
      </c>
      <c r="J657"/>
      <c r="M657" s="4"/>
    </row>
    <row r="658" spans="2:13" ht="12.75">
      <c r="B658" s="30"/>
      <c r="C658" s="1"/>
      <c r="G658" s="11"/>
      <c r="J658"/>
      <c r="M658" s="4"/>
    </row>
    <row r="659" spans="2:8" ht="13.5">
      <c r="B659" s="91" t="s">
        <v>357</v>
      </c>
      <c r="C659"/>
      <c r="H659" s="11"/>
    </row>
    <row r="660" spans="2:8" ht="13.5">
      <c r="B660" s="91" t="s">
        <v>358</v>
      </c>
      <c r="C660"/>
      <c r="H660" s="11"/>
    </row>
    <row r="661" spans="3:8" ht="13.5">
      <c r="C661" s="91"/>
      <c r="H661" s="11"/>
    </row>
    <row r="662" spans="1:11" ht="13.5">
      <c r="A662" s="90"/>
      <c r="B662" s="92" t="s">
        <v>506</v>
      </c>
      <c r="C662" s="31"/>
      <c r="G662" s="10"/>
      <c r="H662" s="32"/>
      <c r="I662" s="33"/>
      <c r="J662" s="33"/>
      <c r="K662" s="23"/>
    </row>
    <row r="663" spans="3:12" ht="13.5">
      <c r="C663" s="94"/>
      <c r="D663" s="90"/>
      <c r="E663" s="90"/>
      <c r="F663" s="90"/>
      <c r="G663" s="100"/>
      <c r="H663" s="98"/>
      <c r="I663" s="155"/>
      <c r="J663" s="155"/>
      <c r="K663" s="156"/>
      <c r="L663" s="90"/>
    </row>
    <row r="664" spans="2:11" ht="13.5">
      <c r="B664" s="91" t="s">
        <v>507</v>
      </c>
      <c r="C664"/>
      <c r="G664" s="10"/>
      <c r="H664" s="32"/>
      <c r="I664" s="33"/>
      <c r="J664" s="33"/>
      <c r="K664" s="23"/>
    </row>
    <row r="665" spans="2:11" ht="13.5">
      <c r="B665" s="91" t="s">
        <v>508</v>
      </c>
      <c r="C665"/>
      <c r="G665" s="10"/>
      <c r="H665" s="32"/>
      <c r="I665" s="33"/>
      <c r="J665" s="33"/>
      <c r="K665" s="23"/>
    </row>
    <row r="666" spans="2:7" ht="13.5">
      <c r="B666" s="91" t="s">
        <v>509</v>
      </c>
      <c r="C666"/>
      <c r="G666" s="11"/>
    </row>
    <row r="667" spans="2:7" ht="13.5">
      <c r="B667" s="91" t="s">
        <v>510</v>
      </c>
      <c r="C667"/>
      <c r="G667" s="11"/>
    </row>
    <row r="668" spans="2:7" ht="13.5">
      <c r="B668" s="91" t="s">
        <v>511</v>
      </c>
      <c r="C668"/>
      <c r="G668" s="11"/>
    </row>
    <row r="669" spans="2:7" ht="13.5">
      <c r="B669" s="91"/>
      <c r="C669"/>
      <c r="G669" s="11"/>
    </row>
    <row r="670" spans="2:15" ht="13.5">
      <c r="B670" s="91"/>
      <c r="C670" s="1"/>
      <c r="F670"/>
      <c r="G670"/>
      <c r="H670"/>
      <c r="I670"/>
      <c r="J670"/>
      <c r="K670"/>
      <c r="O670"/>
    </row>
    <row r="671" spans="2:15" ht="13.5">
      <c r="B671" s="94">
        <v>20</v>
      </c>
      <c r="C671" s="114" t="s">
        <v>512</v>
      </c>
      <c r="D671" s="90"/>
      <c r="E671" s="100"/>
      <c r="F671"/>
      <c r="G671"/>
      <c r="H671"/>
      <c r="I671"/>
      <c r="J671"/>
      <c r="K671"/>
      <c r="O671"/>
    </row>
    <row r="672" spans="2:15" ht="15" thickBot="1">
      <c r="B672" s="94"/>
      <c r="C672" s="90"/>
      <c r="D672" s="90"/>
      <c r="E672" s="90"/>
      <c r="F672" s="90"/>
      <c r="G672" s="90"/>
      <c r="H672" s="352">
        <f>G32</f>
        <v>2</v>
      </c>
      <c r="I672" s="156"/>
      <c r="J672" s="110"/>
      <c r="K672" s="238"/>
      <c r="O672"/>
    </row>
    <row r="673" spans="2:15" ht="15" thickBot="1">
      <c r="B673" s="94"/>
      <c r="C673" s="103" t="s">
        <v>23</v>
      </c>
      <c r="D673" s="437">
        <f>G17</f>
        <v>439.4125661827812</v>
      </c>
      <c r="E673" s="437">
        <f>G18</f>
        <v>21.553</v>
      </c>
      <c r="F673" s="244" t="s">
        <v>513</v>
      </c>
      <c r="G673" s="437">
        <f>G19</f>
        <v>8</v>
      </c>
      <c r="H673" s="438" t="s">
        <v>25</v>
      </c>
      <c r="I673" s="156"/>
      <c r="J673" s="110"/>
      <c r="K673" s="238"/>
      <c r="O673"/>
    </row>
    <row r="674" spans="2:15" ht="13.5">
      <c r="B674" s="94"/>
      <c r="C674" s="90"/>
      <c r="D674" s="90"/>
      <c r="E674" s="90"/>
      <c r="F674" s="90"/>
      <c r="G674" s="90"/>
      <c r="H674" s="90"/>
      <c r="I674" s="90"/>
      <c r="O674"/>
    </row>
    <row r="675" spans="2:15" ht="15.75">
      <c r="B675" s="94"/>
      <c r="C675" s="90"/>
      <c r="D675" s="90"/>
      <c r="E675" s="90"/>
      <c r="F675" s="245"/>
      <c r="G675" s="245"/>
      <c r="H675" s="245"/>
      <c r="I675" s="245"/>
      <c r="O675"/>
    </row>
    <row r="676" spans="2:15" ht="16.5" thickBot="1">
      <c r="B676" s="94">
        <v>21</v>
      </c>
      <c r="C676" s="114" t="s">
        <v>514</v>
      </c>
      <c r="D676" s="90"/>
      <c r="E676" s="100"/>
      <c r="F676" s="245"/>
      <c r="G676" s="245"/>
      <c r="H676" s="245"/>
      <c r="I676" s="245"/>
      <c r="L676" s="90"/>
      <c r="O676"/>
    </row>
    <row r="677" spans="2:15" ht="13.5">
      <c r="B677" s="94"/>
      <c r="C677" s="254"/>
      <c r="D677" s="187"/>
      <c r="E677" s="187"/>
      <c r="F677" s="269">
        <f>H672-1</f>
        <v>1</v>
      </c>
      <c r="G677"/>
      <c r="H677" s="148"/>
      <c r="I677" s="156"/>
      <c r="L677" s="90"/>
      <c r="O677"/>
    </row>
    <row r="678" spans="2:15" ht="15" thickBot="1">
      <c r="B678" s="94"/>
      <c r="C678" s="102" t="s">
        <v>117</v>
      </c>
      <c r="D678" s="206">
        <f>E673</f>
        <v>21.553</v>
      </c>
      <c r="E678" s="206">
        <f>G673*H672</f>
        <v>16</v>
      </c>
      <c r="F678" s="272" t="s">
        <v>25</v>
      </c>
      <c r="G678"/>
      <c r="H678" s="148"/>
      <c r="I678" s="156"/>
      <c r="L678" s="90"/>
      <c r="O678"/>
    </row>
    <row r="679" spans="2:15" ht="13.5">
      <c r="B679" s="94"/>
      <c r="C679" s="90"/>
      <c r="D679" s="90"/>
      <c r="E679" s="90"/>
      <c r="F679" s="90"/>
      <c r="G679" s="90"/>
      <c r="H679" s="90"/>
      <c r="I679" s="90"/>
      <c r="O679"/>
    </row>
    <row r="680" spans="2:15" ht="15.75">
      <c r="B680" s="94"/>
      <c r="C680" s="90"/>
      <c r="D680" s="90"/>
      <c r="E680" s="245"/>
      <c r="F680" s="245"/>
      <c r="G680" s="245"/>
      <c r="H680" s="245"/>
      <c r="I680" s="245"/>
      <c r="J680"/>
      <c r="K680"/>
      <c r="O680"/>
    </row>
    <row r="681" spans="2:15" ht="16.5" thickBot="1">
      <c r="B681" s="94">
        <v>22</v>
      </c>
      <c r="C681" s="114" t="s">
        <v>515</v>
      </c>
      <c r="D681" s="245"/>
      <c r="E681" s="245"/>
      <c r="F681" s="245"/>
      <c r="G681" s="245"/>
      <c r="H681" s="245"/>
      <c r="I681" s="245"/>
      <c r="J681"/>
      <c r="K681"/>
      <c r="O681"/>
    </row>
    <row r="682" spans="2:15" ht="13.5">
      <c r="B682" s="94"/>
      <c r="C682" s="254"/>
      <c r="D682" s="187"/>
      <c r="E682" s="187"/>
      <c r="F682" s="187"/>
      <c r="G682" s="187"/>
      <c r="H682" s="269">
        <f>F677</f>
        <v>1</v>
      </c>
      <c r="I682"/>
      <c r="J682" s="23"/>
      <c r="K682"/>
      <c r="O682"/>
    </row>
    <row r="683" spans="2:15" ht="15" thickBot="1">
      <c r="B683" s="94"/>
      <c r="C683" s="439">
        <f>G657</f>
        <v>149.28870166666317</v>
      </c>
      <c r="D683" s="270" t="s">
        <v>516</v>
      </c>
      <c r="E683" s="206">
        <f>D678</f>
        <v>21.553</v>
      </c>
      <c r="F683" s="128" t="s">
        <v>517</v>
      </c>
      <c r="G683" s="206">
        <f>E678</f>
        <v>16</v>
      </c>
      <c r="H683" s="272" t="s">
        <v>518</v>
      </c>
      <c r="I683"/>
      <c r="J683" s="23"/>
      <c r="K683"/>
      <c r="O683"/>
    </row>
    <row r="684" spans="2:15" ht="15" thickBot="1">
      <c r="B684" s="94"/>
      <c r="C684" s="90"/>
      <c r="D684" s="90"/>
      <c r="E684" s="90"/>
      <c r="F684" s="90"/>
      <c r="G684" s="141"/>
      <c r="H684" s="90"/>
      <c r="I684" s="90"/>
      <c r="O684"/>
    </row>
    <row r="685" spans="2:15" ht="15" thickBot="1">
      <c r="B685" s="94"/>
      <c r="C685" s="368"/>
      <c r="D685" s="440" t="s">
        <v>14</v>
      </c>
      <c r="E685" s="441">
        <f>IF((((C683-E683)/G683*(1+$G$30))^(1/H682))&lt;0,0,((C683-E683)/G683*(1+$G$30))^(1/H682))</f>
        <v>9.580177624999738</v>
      </c>
      <c r="F685" s="141"/>
      <c r="G685" s="90"/>
      <c r="H685" s="90"/>
      <c r="I685" s="90"/>
      <c r="J685"/>
      <c r="O685"/>
    </row>
    <row r="686" spans="2:15" ht="15" thickBot="1">
      <c r="B686" s="94"/>
      <c r="C686" s="257"/>
      <c r="D686" s="298" t="s">
        <v>328</v>
      </c>
      <c r="E686" s="442">
        <f>IF(E685&lt;0,0,E685*$G$30)</f>
        <v>1.9160355249999477</v>
      </c>
      <c r="F686" s="113" t="s">
        <v>519</v>
      </c>
      <c r="G686" s="90"/>
      <c r="H686" s="443">
        <f>G17+E686*(G28+G29)</f>
        <v>480.70887985310503</v>
      </c>
      <c r="I686" s="90" t="s">
        <v>520</v>
      </c>
      <c r="J686"/>
      <c r="K686" s="84"/>
      <c r="O686"/>
    </row>
    <row r="687" spans="2:15" ht="15" thickBot="1">
      <c r="B687" s="94"/>
      <c r="C687" s="444"/>
      <c r="D687" s="445" t="s">
        <v>521</v>
      </c>
      <c r="E687" s="446">
        <f>E685-E686</f>
        <v>7.664142099999791</v>
      </c>
      <c r="F687" s="141"/>
      <c r="G687" s="90"/>
      <c r="H687" s="90"/>
      <c r="I687" s="142"/>
      <c r="J687"/>
      <c r="O687"/>
    </row>
    <row r="688" spans="2:15" ht="13.5">
      <c r="B688" s="94"/>
      <c r="C688" s="90"/>
      <c r="D688" s="90"/>
      <c r="E688" s="90"/>
      <c r="F688" s="90"/>
      <c r="G688" s="141"/>
      <c r="H688" s="90"/>
      <c r="I688" s="90"/>
      <c r="O688"/>
    </row>
    <row r="689" spans="2:15" ht="13.5">
      <c r="B689" s="91" t="s">
        <v>522</v>
      </c>
      <c r="C689" s="1"/>
      <c r="G689" s="6"/>
      <c r="O689"/>
    </row>
    <row r="690" spans="2:15" ht="15" thickBot="1">
      <c r="B690" s="91" t="s">
        <v>523</v>
      </c>
      <c r="C690" s="1"/>
      <c r="G690" s="6"/>
      <c r="O690"/>
    </row>
    <row r="691" spans="3:15" ht="13.5">
      <c r="C691" s="523"/>
      <c r="D691" s="187"/>
      <c r="E691" s="187"/>
      <c r="F691" s="402" t="s">
        <v>524</v>
      </c>
      <c r="G691" s="520">
        <f>IF(G657*E685&lt;0,0,G657*E685)</f>
        <v>1430.2122793722276</v>
      </c>
      <c r="H691" s="6"/>
      <c r="O691"/>
    </row>
    <row r="692" spans="3:15" ht="13.5">
      <c r="C692" s="524"/>
      <c r="D692" s="147"/>
      <c r="E692" s="147"/>
      <c r="F692" s="98" t="s">
        <v>525</v>
      </c>
      <c r="G692" s="521">
        <f>IF(E685=0,D673,H686+E673*E685+G673*(E685^H672))</f>
        <v>1421.4288748170893</v>
      </c>
      <c r="H692" s="6"/>
      <c r="O692"/>
    </row>
    <row r="693" spans="3:15" ht="15" thickBot="1">
      <c r="C693" s="525"/>
      <c r="D693" s="364"/>
      <c r="E693" s="364"/>
      <c r="F693" s="99" t="s">
        <v>526</v>
      </c>
      <c r="G693" s="522">
        <f>G691-G692</f>
        <v>8.783404555138304</v>
      </c>
      <c r="H693" s="6"/>
      <c r="O693"/>
    </row>
    <row r="694" spans="3:15" ht="12.75">
      <c r="C694" s="31"/>
      <c r="H694" s="6"/>
      <c r="O694"/>
    </row>
    <row r="695" spans="2:15" ht="13.5">
      <c r="B695" s="91" t="s">
        <v>527</v>
      </c>
      <c r="C695" s="1"/>
      <c r="G695" s="6"/>
      <c r="O695"/>
    </row>
    <row r="696" spans="2:15" ht="13.5">
      <c r="B696" s="91" t="s">
        <v>528</v>
      </c>
      <c r="C696" s="1"/>
      <c r="G696" s="6"/>
      <c r="O696"/>
    </row>
    <row r="697" spans="2:17" ht="15" thickBot="1">
      <c r="B697" s="91" t="s">
        <v>529</v>
      </c>
      <c r="C697" s="1"/>
      <c r="G697" s="6"/>
      <c r="O697"/>
      <c r="P697" s="2" t="s">
        <v>530</v>
      </c>
      <c r="Q697" s="227">
        <f>D853*0.8</f>
        <v>129.08453149999684</v>
      </c>
    </row>
    <row r="698" spans="2:17" ht="13.5">
      <c r="B698" s="91" t="s">
        <v>531</v>
      </c>
      <c r="C698" s="1"/>
      <c r="G698" s="6"/>
      <c r="O698"/>
      <c r="P698" s="122" t="s">
        <v>532</v>
      </c>
      <c r="Q698" s="233">
        <v>46.232837531278655</v>
      </c>
    </row>
    <row r="699" spans="2:17" ht="13.5">
      <c r="B699" s="94"/>
      <c r="C699" s="90"/>
      <c r="D699" s="90"/>
      <c r="E699" s="90"/>
      <c r="F699"/>
      <c r="G699"/>
      <c r="H699"/>
      <c r="I699"/>
      <c r="J699"/>
      <c r="K699"/>
      <c r="L699"/>
      <c r="P699" s="95" t="s">
        <v>83</v>
      </c>
      <c r="Q699" s="232">
        <f>F853</f>
        <v>1</v>
      </c>
    </row>
    <row r="700" spans="2:17" ht="15" thickBot="1">
      <c r="B700" s="94" t="s">
        <v>185</v>
      </c>
      <c r="C700" s="114" t="s">
        <v>533</v>
      </c>
      <c r="D700" s="90"/>
      <c r="E700"/>
      <c r="F700"/>
      <c r="G700"/>
      <c r="H700"/>
      <c r="I700"/>
      <c r="J700"/>
      <c r="K700"/>
      <c r="L700"/>
      <c r="P700" s="95" t="s">
        <v>534</v>
      </c>
      <c r="Q700" s="232">
        <f>H853</f>
        <v>2</v>
      </c>
    </row>
    <row r="701" spans="2:17" ht="13.5">
      <c r="B701" s="94"/>
      <c r="C701" s="254"/>
      <c r="D701" s="268"/>
      <c r="E701" s="187"/>
      <c r="F701" s="187"/>
      <c r="G701" s="187"/>
      <c r="H701" s="269">
        <f>G32</f>
        <v>2</v>
      </c>
      <c r="I701" s="110"/>
      <c r="J701" s="23"/>
      <c r="K701" s="110"/>
      <c r="L701" s="23"/>
      <c r="P701" s="95" t="s">
        <v>535</v>
      </c>
      <c r="Q701" s="88">
        <f>I852</f>
        <v>1</v>
      </c>
    </row>
    <row r="702" spans="2:17" ht="15" thickBot="1">
      <c r="B702" s="94"/>
      <c r="C702" s="102" t="s">
        <v>23</v>
      </c>
      <c r="D702" s="273">
        <f>$G$17</f>
        <v>439.4125661827812</v>
      </c>
      <c r="E702" s="206">
        <f>E556</f>
        <v>21.553</v>
      </c>
      <c r="F702" s="128" t="str">
        <f>F556</f>
        <v>Q            +</v>
      </c>
      <c r="G702" s="206">
        <f>G556</f>
        <v>8</v>
      </c>
      <c r="H702" s="272" t="str">
        <f>H556</f>
        <v>Q</v>
      </c>
      <c r="I702" s="110"/>
      <c r="J702" s="23"/>
      <c r="K702" s="110"/>
      <c r="L702" s="23"/>
      <c r="P702" s="234" t="s">
        <v>536</v>
      </c>
      <c r="Q702" s="235">
        <f>Q699*Q698+Q700*Q698^Q701</f>
        <v>138.69851259383597</v>
      </c>
    </row>
    <row r="703" spans="3:17" ht="15" thickBot="1">
      <c r="C703" s="94"/>
      <c r="D703" s="90"/>
      <c r="E703" s="90"/>
      <c r="F703" s="100"/>
      <c r="G703" s="98"/>
      <c r="H703" s="216"/>
      <c r="I703" s="110"/>
      <c r="J703" s="23"/>
      <c r="K703" s="110"/>
      <c r="L703" s="23"/>
      <c r="P703" s="25" t="s">
        <v>537</v>
      </c>
      <c r="Q703" s="236">
        <f>D853</f>
        <v>161.35566437499605</v>
      </c>
    </row>
    <row r="704" spans="2:17" ht="16.5" thickBot="1">
      <c r="B704" s="94" t="s">
        <v>538</v>
      </c>
      <c r="C704" s="114" t="s">
        <v>539</v>
      </c>
      <c r="D704" s="90"/>
      <c r="E704" s="245"/>
      <c r="F704" s="90"/>
      <c r="G704" s="245"/>
      <c r="H704" s="245"/>
      <c r="I704"/>
      <c r="J704"/>
      <c r="K704"/>
      <c r="P704"/>
      <c r="Q704"/>
    </row>
    <row r="705" spans="3:40" ht="15.75">
      <c r="C705" s="254"/>
      <c r="D705" s="268"/>
      <c r="E705" s="187"/>
      <c r="F705" s="187"/>
      <c r="G705" s="269">
        <f>H701-1</f>
        <v>1</v>
      </c>
      <c r="H705" s="245"/>
      <c r="I705"/>
      <c r="J705"/>
      <c r="K705"/>
      <c r="P705"/>
      <c r="Q705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</row>
    <row r="706" spans="3:40" ht="15" thickBot="1">
      <c r="C706" s="102" t="str">
        <f>C561</f>
        <v>MC =</v>
      </c>
      <c r="D706" s="273">
        <f>D561</f>
        <v>21.553</v>
      </c>
      <c r="E706" s="273" t="str">
        <f>E561</f>
        <v>            +</v>
      </c>
      <c r="F706" s="273">
        <f>G702*H701</f>
        <v>16</v>
      </c>
      <c r="G706" s="526" t="str">
        <f>G561</f>
        <v>Q</v>
      </c>
      <c r="H706" s="216"/>
      <c r="I706" s="215"/>
      <c r="J706" s="215"/>
      <c r="K706" s="261"/>
      <c r="P706"/>
      <c r="Q706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</row>
    <row r="707" spans="1:17" s="11" customFormat="1" ht="13.5">
      <c r="A707" s="1"/>
      <c r="B707" s="1"/>
      <c r="C707" s="94"/>
      <c r="D707" s="90"/>
      <c r="E707" s="90"/>
      <c r="F707" s="100"/>
      <c r="G707" s="90"/>
      <c r="H707" s="141"/>
      <c r="I707" s="1"/>
      <c r="J707" s="1"/>
      <c r="K707" s="1"/>
      <c r="L707" s="1"/>
      <c r="M707" s="1"/>
      <c r="N707" s="1"/>
      <c r="O707" s="1"/>
      <c r="P707"/>
      <c r="Q707"/>
    </row>
    <row r="708" spans="1:15" s="11" customFormat="1" ht="16.5" thickBot="1">
      <c r="A708" s="1"/>
      <c r="B708" s="94" t="s">
        <v>540</v>
      </c>
      <c r="C708" s="114" t="s">
        <v>541</v>
      </c>
      <c r="D708" s="90"/>
      <c r="E708" s="245"/>
      <c r="F708" s="100"/>
      <c r="G708" s="245"/>
      <c r="H708" s="245"/>
      <c r="I708"/>
      <c r="J708"/>
      <c r="K708"/>
      <c r="L708"/>
      <c r="M708" s="1"/>
      <c r="N708" s="1"/>
      <c r="O708" s="1"/>
    </row>
    <row r="709" spans="1:15" s="11" customFormat="1" ht="13.5">
      <c r="A709" s="1"/>
      <c r="B709" s="1"/>
      <c r="C709" s="254"/>
      <c r="D709" s="268"/>
      <c r="E709" s="187"/>
      <c r="F709" s="187"/>
      <c r="G709" s="187"/>
      <c r="H709" s="269">
        <f>H701-1</f>
        <v>1</v>
      </c>
      <c r="I709"/>
      <c r="J709"/>
      <c r="K709"/>
      <c r="L709"/>
      <c r="M709" s="1"/>
      <c r="N709" s="1"/>
      <c r="O709" s="1"/>
    </row>
    <row r="710" spans="1:15" s="11" customFormat="1" ht="15" thickBot="1">
      <c r="A710" s="1"/>
      <c r="B710" s="1"/>
      <c r="C710" s="464">
        <f>$G$657</f>
        <v>149.28870166666317</v>
      </c>
      <c r="D710" s="270" t="s">
        <v>542</v>
      </c>
      <c r="E710" s="206">
        <f>D706</f>
        <v>21.553</v>
      </c>
      <c r="F710" s="128" t="s">
        <v>543</v>
      </c>
      <c r="G710" s="206">
        <f>F706</f>
        <v>16</v>
      </c>
      <c r="H710" s="272" t="s">
        <v>25</v>
      </c>
      <c r="I710" s="110"/>
      <c r="J710" s="23"/>
      <c r="K710" s="110"/>
      <c r="L710" s="23"/>
      <c r="M710" s="1"/>
      <c r="N710" s="1"/>
      <c r="O710" s="1"/>
    </row>
    <row r="711" spans="1:15" s="11" customFormat="1" ht="7.5" customHeight="1" thickBot="1">
      <c r="A711" s="1"/>
      <c r="B711" s="1"/>
      <c r="C711" s="245"/>
      <c r="D711" s="245"/>
      <c r="E711" s="245"/>
      <c r="F711" s="245"/>
      <c r="G711" s="499"/>
      <c r="H711" s="433"/>
      <c r="I711" s="110"/>
      <c r="J711" s="23"/>
      <c r="K711" s="110"/>
      <c r="L711" s="23"/>
      <c r="M711" s="1"/>
      <c r="N711" s="1"/>
      <c r="O711" s="1"/>
    </row>
    <row r="712" spans="1:15" s="11" customFormat="1" ht="15" thickBot="1">
      <c r="A712" s="1"/>
      <c r="B712" s="1"/>
      <c r="C712" s="94"/>
      <c r="D712" s="90"/>
      <c r="E712" s="90"/>
      <c r="F712" s="103" t="s">
        <v>14</v>
      </c>
      <c r="G712" s="461">
        <f>IF((((C710-E710)/G710)^(1/H709)&lt;0),0,(C710-E710)/G710)^(1/H709)</f>
        <v>7.983481354166448</v>
      </c>
      <c r="H712" s="141"/>
      <c r="I712" s="1"/>
      <c r="J712" s="1"/>
      <c r="K712" s="1"/>
      <c r="L712" s="1"/>
      <c r="M712" s="1"/>
      <c r="N712" s="1"/>
      <c r="O712" s="1"/>
    </row>
    <row r="713" spans="1:19" s="11" customFormat="1" ht="10.5" customHeight="1" thickBot="1">
      <c r="A713" s="1"/>
      <c r="B713" s="1"/>
      <c r="C713" s="94"/>
      <c r="D713" s="90"/>
      <c r="E713" s="90"/>
      <c r="F713" s="245"/>
      <c r="G713" s="245"/>
      <c r="H713" s="141"/>
      <c r="I713" s="1"/>
      <c r="J713" s="1"/>
      <c r="K713" s="1"/>
      <c r="L713" s="1"/>
      <c r="M713" s="1"/>
      <c r="N713" s="1"/>
      <c r="O713" s="1"/>
      <c r="S713" s="18"/>
    </row>
    <row r="714" spans="1:15" s="11" customFormat="1" ht="13.5">
      <c r="A714" s="1"/>
      <c r="B714" s="1"/>
      <c r="C714" s="141"/>
      <c r="D714" s="141" t="s">
        <v>544</v>
      </c>
      <c r="E714" s="488">
        <f>E519</f>
        <v>1.553</v>
      </c>
      <c r="F714" s="90" t="s">
        <v>270</v>
      </c>
      <c r="G714" s="141"/>
      <c r="H714" s="141"/>
      <c r="I714" s="1"/>
      <c r="J714" s="1"/>
      <c r="K714" s="1"/>
      <c r="L714" s="1"/>
      <c r="M714" s="1"/>
      <c r="N714" s="1"/>
      <c r="O714" s="1"/>
    </row>
    <row r="715" spans="1:40" s="11" customFormat="1" ht="15.75">
      <c r="A715" s="1"/>
      <c r="B715" s="1"/>
      <c r="C715" s="141"/>
      <c r="D715" s="141" t="s">
        <v>545</v>
      </c>
      <c r="E715" s="489">
        <f>E520</f>
        <v>20</v>
      </c>
      <c r="F715" s="90" t="s">
        <v>546</v>
      </c>
      <c r="G715" s="141"/>
      <c r="H715" s="245"/>
      <c r="I715"/>
      <c r="J715" s="1"/>
      <c r="K715" s="1"/>
      <c r="L715" s="1"/>
      <c r="M715" s="1"/>
      <c r="N715" s="1"/>
      <c r="O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s="11" customFormat="1" ht="16.5" thickBot="1">
      <c r="A716" s="1"/>
      <c r="B716" s="1"/>
      <c r="C716" s="141"/>
      <c r="D716" s="141" t="s">
        <v>547</v>
      </c>
      <c r="E716" s="511">
        <f>G712</f>
        <v>7.983481354166448</v>
      </c>
      <c r="F716" s="90" t="s">
        <v>548</v>
      </c>
      <c r="G716" s="141"/>
      <c r="H716" s="245"/>
      <c r="I716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2:9" ht="16.5" thickBot="1">
      <c r="B717" s="91"/>
      <c r="C717" s="90"/>
      <c r="D717" s="103" t="s">
        <v>275</v>
      </c>
      <c r="E717" s="461">
        <f>SQRT((2*E714*E716)/E715)</f>
        <v>1.1134786276808595</v>
      </c>
      <c r="F717" s="90" t="s">
        <v>549</v>
      </c>
      <c r="G717" s="141"/>
      <c r="H717" s="245"/>
      <c r="I717"/>
    </row>
    <row r="718" spans="2:9" ht="16.5" thickBot="1">
      <c r="B718" s="91"/>
      <c r="C718" s="90"/>
      <c r="D718" s="103" t="s">
        <v>139</v>
      </c>
      <c r="E718" s="461">
        <f>IF(E717&lt;0,0,E716-E717)</f>
        <v>6.870002726485589</v>
      </c>
      <c r="F718" s="90" t="s">
        <v>550</v>
      </c>
      <c r="G718" s="141"/>
      <c r="H718" s="245"/>
      <c r="I718"/>
    </row>
    <row r="719" spans="3:9" ht="12.75">
      <c r="C719"/>
      <c r="D719"/>
      <c r="E719"/>
      <c r="F719"/>
      <c r="G719"/>
      <c r="H719"/>
      <c r="I719"/>
    </row>
    <row r="720" spans="3:9" ht="13.5" thickBot="1">
      <c r="C720"/>
      <c r="D720"/>
      <c r="E720"/>
      <c r="F720"/>
      <c r="G720"/>
      <c r="H720"/>
      <c r="I720"/>
    </row>
    <row r="721" spans="3:9" ht="15" thickBot="1">
      <c r="C721" s="91"/>
      <c r="D721" s="90"/>
      <c r="E721" s="141" t="s">
        <v>551</v>
      </c>
      <c r="F721" s="485">
        <f>IF(E718&lt;0,0,E717/E716)</f>
        <v>0.13947281621691934</v>
      </c>
      <c r="G721" s="90" t="s">
        <v>552</v>
      </c>
      <c r="H721" s="141"/>
      <c r="I721" s="90"/>
    </row>
    <row r="722" spans="2:9" ht="13.5">
      <c r="B722" s="90" t="s">
        <v>553</v>
      </c>
      <c r="C722" s="91"/>
      <c r="D722" s="90"/>
      <c r="E722" s="90"/>
      <c r="F722" s="513"/>
      <c r="G722" s="90"/>
      <c r="H722" s="141"/>
      <c r="I722" s="90"/>
    </row>
    <row r="723" spans="2:9" ht="16.5" thickBot="1">
      <c r="B723"/>
      <c r="C723" s="245"/>
      <c r="D723" s="245"/>
      <c r="E723" s="245"/>
      <c r="F723" s="245"/>
      <c r="G723" s="245"/>
      <c r="H723" s="245"/>
      <c r="I723"/>
    </row>
    <row r="724" spans="2:11" ht="16.5" thickBot="1">
      <c r="B724" s="91" t="s">
        <v>554</v>
      </c>
      <c r="C724" s="90"/>
      <c r="D724" s="90"/>
      <c r="E724" s="510">
        <f>IF(E717&lt;0,0,E717*(G28+G29))</f>
        <v>23.998804862405564</v>
      </c>
      <c r="F724" s="90" t="s">
        <v>555</v>
      </c>
      <c r="G724" s="245"/>
      <c r="H724" s="245"/>
      <c r="I724"/>
      <c r="J724"/>
      <c r="K724"/>
    </row>
    <row r="725" spans="2:12" ht="16.5" thickBot="1">
      <c r="B725"/>
      <c r="C725" s="510">
        <f>$G$17+$E$724</f>
        <v>463.41137104518674</v>
      </c>
      <c r="D725" s="90" t="s">
        <v>556</v>
      </c>
      <c r="E725" s="245"/>
      <c r="F725" s="245"/>
      <c r="G725" s="245"/>
      <c r="H725" s="245"/>
      <c r="I725"/>
      <c r="J725"/>
      <c r="K725"/>
      <c r="L725"/>
    </row>
    <row r="726" spans="3:11" ht="13.5">
      <c r="C726" s="91"/>
      <c r="D726" s="90"/>
      <c r="E726" s="90"/>
      <c r="F726" s="513"/>
      <c r="G726" s="90"/>
      <c r="H726" s="141"/>
      <c r="I726" s="90"/>
      <c r="J726" s="133"/>
      <c r="K726" s="90"/>
    </row>
    <row r="727" spans="1:12" ht="16.5" thickBot="1">
      <c r="A727"/>
      <c r="B727" s="100" t="s">
        <v>557</v>
      </c>
      <c r="C727" s="114" t="s">
        <v>558</v>
      </c>
      <c r="D727" s="90"/>
      <c r="E727" s="245"/>
      <c r="F727" s="513"/>
      <c r="G727" s="245"/>
      <c r="H727" s="245"/>
      <c r="I727"/>
      <c r="J727"/>
      <c r="K727"/>
      <c r="L727"/>
    </row>
    <row r="728" spans="1:12" ht="13.5">
      <c r="A728"/>
      <c r="B728"/>
      <c r="C728" s="254"/>
      <c r="D728" s="268"/>
      <c r="E728" s="187"/>
      <c r="F728" s="187"/>
      <c r="G728" s="187"/>
      <c r="H728" s="269">
        <f>G32</f>
        <v>2</v>
      </c>
      <c r="I728"/>
      <c r="J728"/>
      <c r="K728"/>
      <c r="L728"/>
    </row>
    <row r="729" spans="1:12" ht="15" thickBot="1">
      <c r="A729"/>
      <c r="B729"/>
      <c r="C729" s="102" t="s">
        <v>23</v>
      </c>
      <c r="D729" s="273">
        <f>$C$725</f>
        <v>463.41137104518674</v>
      </c>
      <c r="E729" s="206">
        <f>$G$18</f>
        <v>21.553</v>
      </c>
      <c r="F729" s="128" t="s">
        <v>559</v>
      </c>
      <c r="G729" s="206">
        <f>$G$19</f>
        <v>8</v>
      </c>
      <c r="H729" s="272" t="s">
        <v>25</v>
      </c>
      <c r="I729" s="110"/>
      <c r="J729" s="23"/>
      <c r="K729" s="110"/>
      <c r="L729" s="23"/>
    </row>
    <row r="730" spans="3:11" ht="16.5" thickBot="1">
      <c r="C730" s="245"/>
      <c r="D730" s="245"/>
      <c r="E730" s="245"/>
      <c r="F730" s="245"/>
      <c r="G730" s="245"/>
      <c r="H730" s="245"/>
      <c r="I730"/>
      <c r="J730"/>
      <c r="K730"/>
    </row>
    <row r="731" spans="3:8" ht="13.5">
      <c r="C731" s="529"/>
      <c r="D731" s="187"/>
      <c r="E731" s="187"/>
      <c r="F731" s="402" t="s">
        <v>524</v>
      </c>
      <c r="G731" s="527">
        <f>IF($G$657*$G$712&lt;0,0,($G$657*$G$712))</f>
        <v>1191.843566143523</v>
      </c>
      <c r="H731" s="141"/>
    </row>
    <row r="732" spans="3:8" ht="15.75">
      <c r="C732" s="530"/>
      <c r="D732" s="147"/>
      <c r="E732" s="147"/>
      <c r="F732" s="98" t="s">
        <v>560</v>
      </c>
      <c r="G732" s="528">
        <f>IF($G$731=0,$G$17,$D$729+$G$18*$E$716+$G$19*$E$716^$G$32)</f>
        <v>1145.367140930123</v>
      </c>
      <c r="H732" s="245"/>
    </row>
    <row r="733" spans="3:9" ht="16.5" thickBot="1">
      <c r="C733" s="531"/>
      <c r="D733" s="364"/>
      <c r="E733" s="364"/>
      <c r="F733" s="99" t="s">
        <v>526</v>
      </c>
      <c r="G733" s="522">
        <f>G731-G732</f>
        <v>46.476425213400034</v>
      </c>
      <c r="H733" s="245"/>
      <c r="I733" s="84"/>
    </row>
    <row r="734" spans="3:9" ht="12.75">
      <c r="C734" s="31"/>
      <c r="E734"/>
      <c r="F734"/>
      <c r="G734"/>
      <c r="H734"/>
      <c r="I734"/>
    </row>
    <row r="735" spans="3:9" ht="15" thickBot="1">
      <c r="C735" s="90"/>
      <c r="D735" s="90"/>
      <c r="E735" s="133"/>
      <c r="F735" s="90"/>
      <c r="G735" s="113" t="s">
        <v>561</v>
      </c>
      <c r="H735" s="90"/>
      <c r="I735"/>
    </row>
    <row r="736" spans="3:9" ht="13.5">
      <c r="C736" s="90"/>
      <c r="D736" s="90"/>
      <c r="E736" s="216" t="s">
        <v>195</v>
      </c>
      <c r="F736" s="447">
        <f>$G$19*$G$712</f>
        <v>63.86785083333159</v>
      </c>
      <c r="G736" s="143" t="s">
        <v>34</v>
      </c>
      <c r="H736" s="248">
        <f>$R$627</f>
        <v>0.7983481354166448</v>
      </c>
      <c r="I736"/>
    </row>
    <row r="737" spans="3:17" ht="13.5">
      <c r="C737" s="90"/>
      <c r="D737" s="90"/>
      <c r="E737" s="216" t="s">
        <v>196</v>
      </c>
      <c r="F737" s="532">
        <f>$G$19*($E$716^($H$728))-$F$736</f>
        <v>446.0199454252552</v>
      </c>
      <c r="G737" s="144" t="s">
        <v>35</v>
      </c>
      <c r="H737" s="515">
        <f>$R$628</f>
        <v>0.7983481354166448</v>
      </c>
      <c r="I737"/>
      <c r="P737" s="40">
        <v>0.55679</v>
      </c>
      <c r="Q737" s="41">
        <v>768.37</v>
      </c>
    </row>
    <row r="738" spans="3:17" ht="13.5">
      <c r="C738" s="1"/>
      <c r="E738" s="98" t="s">
        <v>198</v>
      </c>
      <c r="F738" s="532">
        <f>$G$18*$E$716</f>
        <v>172.06797362634947</v>
      </c>
      <c r="G738" s="144" t="s">
        <v>562</v>
      </c>
      <c r="H738" s="515">
        <f>$R$629</f>
        <v>7.983481354166449</v>
      </c>
      <c r="I738"/>
      <c r="P738" s="40">
        <v>0.523436</v>
      </c>
      <c r="Q738" s="41">
        <v>722.34</v>
      </c>
    </row>
    <row r="739" spans="3:17" ht="13.5">
      <c r="C739" s="1"/>
      <c r="E739" s="98" t="s">
        <v>200</v>
      </c>
      <c r="F739" s="533">
        <f>$D$729</f>
        <v>463.41137104518674</v>
      </c>
      <c r="G739" s="144" t="s">
        <v>467</v>
      </c>
      <c r="H739" s="515">
        <f>$E$717</f>
        <v>1.1134786276808595</v>
      </c>
      <c r="I739"/>
      <c r="P739" s="40">
        <v>0.495937</v>
      </c>
      <c r="Q739" s="41">
        <v>684.39</v>
      </c>
    </row>
    <row r="740" spans="3:20" ht="15" thickBot="1">
      <c r="C740" s="1"/>
      <c r="E740" s="98" t="s">
        <v>126</v>
      </c>
      <c r="F740" s="534">
        <f>SUM(F736:F739)</f>
        <v>1145.367140930123</v>
      </c>
      <c r="G740" s="224" t="s">
        <v>563</v>
      </c>
      <c r="H740" s="516">
        <f>$E$718</f>
        <v>6.870002726485589</v>
      </c>
      <c r="I740"/>
      <c r="P740" s="40">
        <v>0.513495</v>
      </c>
      <c r="Q740" s="41">
        <v>708.62</v>
      </c>
      <c r="S740" s="1">
        <f aca="true" t="array" ref="S740:T745">LINEST(Q737:Q746,P737:P746,TRUE,TRUE)</f>
        <v>1280.6802755835527</v>
      </c>
      <c r="T740" s="1">
        <v>51.27160276603081</v>
      </c>
    </row>
    <row r="741" spans="3:20" ht="12.75">
      <c r="C741" s="31"/>
      <c r="D741"/>
      <c r="E741"/>
      <c r="F741"/>
      <c r="G741"/>
      <c r="H741"/>
      <c r="I741"/>
      <c r="P741" s="40">
        <v>0.410299</v>
      </c>
      <c r="Q741" s="41">
        <v>586.21</v>
      </c>
      <c r="S741" s="1">
        <v>37.02982403279103</v>
      </c>
      <c r="T741" s="1">
        <v>18.434445303874316</v>
      </c>
    </row>
    <row r="742" spans="3:20" ht="12.75">
      <c r="C742" s="31"/>
      <c r="D742"/>
      <c r="E742"/>
      <c r="F742"/>
      <c r="G742"/>
      <c r="H742"/>
      <c r="I742"/>
      <c r="P742" s="40">
        <v>0.490337</v>
      </c>
      <c r="Q742" s="41">
        <v>676.67</v>
      </c>
      <c r="S742" s="1">
        <v>0.9933561954650254</v>
      </c>
      <c r="T742" s="1">
        <v>4.866853984659175</v>
      </c>
    </row>
    <row r="743" spans="3:20" ht="12.75">
      <c r="C743" s="31"/>
      <c r="D743"/>
      <c r="E743"/>
      <c r="F743"/>
      <c r="G743"/>
      <c r="H743"/>
      <c r="I743"/>
      <c r="P743" s="40">
        <v>0.474196</v>
      </c>
      <c r="Q743" s="41">
        <v>654.39</v>
      </c>
      <c r="S743" s="1">
        <v>1196.1293445474112</v>
      </c>
      <c r="T743" s="1">
        <v>8</v>
      </c>
    </row>
    <row r="744" spans="3:20" ht="12.75">
      <c r="C744" s="31"/>
      <c r="D744"/>
      <c r="E744"/>
      <c r="F744"/>
      <c r="G744"/>
      <c r="H744"/>
      <c r="I744"/>
      <c r="P744" s="40">
        <v>0.467301</v>
      </c>
      <c r="Q744" s="41">
        <v>644.88</v>
      </c>
      <c r="S744" s="1">
        <v>28331.839868336054</v>
      </c>
      <c r="T744" s="1">
        <v>189.49014166394318</v>
      </c>
    </row>
    <row r="745" spans="3:20" ht="12.75">
      <c r="C745" s="31"/>
      <c r="D745"/>
      <c r="E745"/>
      <c r="F745"/>
      <c r="G745"/>
      <c r="H745"/>
      <c r="I745"/>
      <c r="P745" s="40">
        <v>0.554273</v>
      </c>
      <c r="Q745" s="41">
        <v>764.9</v>
      </c>
      <c r="S745" s="1" t="e">
        <v>#N/A</v>
      </c>
      <c r="T745" s="1" t="e">
        <v>#N/A</v>
      </c>
    </row>
    <row r="746" spans="3:17" ht="13.5" thickBot="1">
      <c r="C746" s="31"/>
      <c r="D746"/>
      <c r="E746"/>
      <c r="F746"/>
      <c r="G746"/>
      <c r="H746"/>
      <c r="I746"/>
      <c r="P746" s="42">
        <v>0.474826</v>
      </c>
      <c r="Q746" s="43">
        <v>655.26</v>
      </c>
    </row>
    <row r="747" spans="3:9" ht="12.75">
      <c r="C747" s="31"/>
      <c r="D747"/>
      <c r="E747"/>
      <c r="F747"/>
      <c r="G747"/>
      <c r="H747"/>
      <c r="I747"/>
    </row>
    <row r="748" spans="3:9" ht="12.75">
      <c r="C748" s="31"/>
      <c r="D748"/>
      <c r="E748"/>
      <c r="F748"/>
      <c r="G748"/>
      <c r="H748"/>
      <c r="I748"/>
    </row>
    <row r="749" spans="3:9" ht="12.75">
      <c r="C749" s="31"/>
      <c r="D749"/>
      <c r="E749"/>
      <c r="F749"/>
      <c r="G749"/>
      <c r="H749"/>
      <c r="I749"/>
    </row>
    <row r="750" spans="3:9" ht="12.75">
      <c r="C750" s="31"/>
      <c r="D750"/>
      <c r="E750"/>
      <c r="F750"/>
      <c r="G750"/>
      <c r="H750"/>
      <c r="I750"/>
    </row>
    <row r="751" spans="3:9" ht="12.75">
      <c r="C751" s="31"/>
      <c r="D751"/>
      <c r="E751"/>
      <c r="F751"/>
      <c r="G751"/>
      <c r="H751"/>
      <c r="I751"/>
    </row>
    <row r="752" spans="3:9" ht="12.75">
      <c r="C752" s="31"/>
      <c r="D752"/>
      <c r="E752"/>
      <c r="F752"/>
      <c r="G752"/>
      <c r="H752"/>
      <c r="I752"/>
    </row>
    <row r="753" spans="3:9" ht="12.75">
      <c r="C753" s="31"/>
      <c r="D753"/>
      <c r="E753"/>
      <c r="F753"/>
      <c r="G753"/>
      <c r="H753"/>
      <c r="I753"/>
    </row>
    <row r="754" spans="3:9" ht="12.75">
      <c r="C754" s="31"/>
      <c r="D754"/>
      <c r="E754"/>
      <c r="F754"/>
      <c r="G754"/>
      <c r="H754"/>
      <c r="I754"/>
    </row>
    <row r="755" spans="3:9" ht="12.75">
      <c r="C755" s="31"/>
      <c r="D755"/>
      <c r="E755"/>
      <c r="F755"/>
      <c r="G755"/>
      <c r="H755"/>
      <c r="I755"/>
    </row>
    <row r="756" spans="3:9" ht="12.75">
      <c r="C756" s="31"/>
      <c r="D756"/>
      <c r="E756"/>
      <c r="F756"/>
      <c r="G756"/>
      <c r="H756"/>
      <c r="I756"/>
    </row>
    <row r="757" spans="3:9" ht="12.75">
      <c r="C757" s="31"/>
      <c r="D757"/>
      <c r="E757"/>
      <c r="F757"/>
      <c r="G757"/>
      <c r="H757"/>
      <c r="I757"/>
    </row>
    <row r="758" spans="3:9" ht="12.75">
      <c r="C758" s="31"/>
      <c r="D758"/>
      <c r="E758"/>
      <c r="F758"/>
      <c r="G758"/>
      <c r="H758"/>
      <c r="I758"/>
    </row>
    <row r="759" spans="3:9" ht="12.75">
      <c r="C759" s="31"/>
      <c r="D759"/>
      <c r="E759"/>
      <c r="F759"/>
      <c r="G759"/>
      <c r="H759"/>
      <c r="I759"/>
    </row>
    <row r="760" spans="3:9" ht="12.75">
      <c r="C760" s="31"/>
      <c r="D760"/>
      <c r="E760"/>
      <c r="F760"/>
      <c r="G760"/>
      <c r="H760"/>
      <c r="I760"/>
    </row>
    <row r="761" spans="3:9" ht="12.75">
      <c r="C761" s="31"/>
      <c r="D761"/>
      <c r="E761"/>
      <c r="F761"/>
      <c r="G761"/>
      <c r="H761"/>
      <c r="I761"/>
    </row>
    <row r="762" spans="3:9" ht="12.75">
      <c r="C762" s="31"/>
      <c r="D762"/>
      <c r="E762"/>
      <c r="F762"/>
      <c r="G762"/>
      <c r="H762"/>
      <c r="I762"/>
    </row>
    <row r="763" spans="3:9" ht="12.75">
      <c r="C763" s="31"/>
      <c r="D763"/>
      <c r="E763"/>
      <c r="F763"/>
      <c r="G763"/>
      <c r="H763"/>
      <c r="I763"/>
    </row>
    <row r="764" spans="3:9" ht="12.75">
      <c r="C764" s="31"/>
      <c r="D764"/>
      <c r="E764"/>
      <c r="F764"/>
      <c r="G764"/>
      <c r="H764"/>
      <c r="I764"/>
    </row>
    <row r="765" spans="3:9" ht="12.75">
      <c r="C765" s="31"/>
      <c r="D765"/>
      <c r="E765"/>
      <c r="F765"/>
      <c r="G765"/>
      <c r="H765"/>
      <c r="I765"/>
    </row>
    <row r="766" spans="3:9" ht="12.75">
      <c r="C766" s="31"/>
      <c r="D766"/>
      <c r="E766"/>
      <c r="F766"/>
      <c r="G766"/>
      <c r="H766"/>
      <c r="I766"/>
    </row>
    <row r="767" spans="3:9" ht="12.75">
      <c r="C767" s="31"/>
      <c r="D767"/>
      <c r="E767"/>
      <c r="F767"/>
      <c r="G767"/>
      <c r="H767"/>
      <c r="I767"/>
    </row>
    <row r="768" spans="3:9" ht="12.75">
      <c r="C768" s="31"/>
      <c r="D768"/>
      <c r="E768"/>
      <c r="F768"/>
      <c r="G768"/>
      <c r="H768"/>
      <c r="I768"/>
    </row>
    <row r="769" spans="3:9" ht="12.75">
      <c r="C769" s="31"/>
      <c r="D769"/>
      <c r="E769"/>
      <c r="F769"/>
      <c r="G769"/>
      <c r="H769"/>
      <c r="I769"/>
    </row>
    <row r="770" spans="3:9" ht="12.75">
      <c r="C770" s="31"/>
      <c r="D770"/>
      <c r="E770"/>
      <c r="F770"/>
      <c r="G770"/>
      <c r="H770"/>
      <c r="I770"/>
    </row>
    <row r="771" spans="3:9" ht="12.75">
      <c r="C771" s="31"/>
      <c r="D771"/>
      <c r="E771"/>
      <c r="F771"/>
      <c r="G771"/>
      <c r="H771"/>
      <c r="I771"/>
    </row>
    <row r="772" spans="3:9" ht="12.75">
      <c r="C772" s="31"/>
      <c r="D772"/>
      <c r="E772"/>
      <c r="F772"/>
      <c r="G772"/>
      <c r="H772"/>
      <c r="I772"/>
    </row>
    <row r="773" spans="3:9" ht="12.75">
      <c r="C773" s="31"/>
      <c r="D773"/>
      <c r="E773"/>
      <c r="F773"/>
      <c r="G773"/>
      <c r="H773"/>
      <c r="I773"/>
    </row>
    <row r="774" spans="3:9" ht="13.5">
      <c r="C774" s="31"/>
      <c r="F774" s="98"/>
      <c r="G774" s="214"/>
      <c r="H774" s="6"/>
      <c r="I774" s="90"/>
    </row>
    <row r="775" spans="3:9" ht="13.5">
      <c r="C775" s="31"/>
      <c r="F775" s="98"/>
      <c r="G775" s="214"/>
      <c r="H775" s="6"/>
      <c r="I775" s="90"/>
    </row>
    <row r="776" spans="2:9" ht="13.5">
      <c r="B776" s="90" t="s">
        <v>395</v>
      </c>
      <c r="C776" s="31"/>
      <c r="F776" s="98"/>
      <c r="G776" s="214"/>
      <c r="H776" s="6"/>
      <c r="I776" s="90"/>
    </row>
    <row r="777" spans="2:11" ht="15" thickBot="1">
      <c r="B777"/>
      <c r="C777" s="1"/>
      <c r="F777" s="114" t="s">
        <v>396</v>
      </c>
      <c r="G777" s="90"/>
      <c r="I777"/>
      <c r="K777"/>
    </row>
    <row r="778" spans="2:11" ht="15" thickBot="1">
      <c r="B778" s="90" t="s">
        <v>310</v>
      </c>
      <c r="C778" s="239"/>
      <c r="D778" s="9" t="s">
        <v>218</v>
      </c>
      <c r="E778" s="129"/>
      <c r="F778" s="266"/>
      <c r="G778" s="267" t="s">
        <v>397</v>
      </c>
      <c r="H778" s="129"/>
      <c r="I778"/>
      <c r="K778"/>
    </row>
    <row r="779" spans="1:11" ht="13.5">
      <c r="A779"/>
      <c r="C779" s="295"/>
      <c r="D779" s="296" t="s">
        <v>398</v>
      </c>
      <c r="E779" s="297">
        <v>2</v>
      </c>
      <c r="F779" s="295"/>
      <c r="G779" s="296" t="s">
        <v>398</v>
      </c>
      <c r="H779" s="297">
        <v>1.5</v>
      </c>
      <c r="I779"/>
      <c r="J779" s="90"/>
      <c r="K779"/>
    </row>
    <row r="780" spans="1:11" ht="13.5">
      <c r="A780"/>
      <c r="C780" s="257"/>
      <c r="D780" s="298" t="s">
        <v>218</v>
      </c>
      <c r="E780" s="299">
        <f>$G$33</f>
        <v>10</v>
      </c>
      <c r="F780" s="257"/>
      <c r="G780" s="298" t="s">
        <v>218</v>
      </c>
      <c r="H780" s="299">
        <v>10</v>
      </c>
      <c r="I780"/>
      <c r="J780" s="90"/>
      <c r="K780"/>
    </row>
    <row r="781" spans="1:11" ht="18">
      <c r="A781"/>
      <c r="C781" s="257"/>
      <c r="D781" s="262" t="s">
        <v>83</v>
      </c>
      <c r="E781" s="299">
        <f>$G$34</f>
        <v>0.5</v>
      </c>
      <c r="F781" s="257"/>
      <c r="G781" s="262" t="s">
        <v>83</v>
      </c>
      <c r="H781" s="299">
        <f>$G$34</f>
        <v>0.5</v>
      </c>
      <c r="I781"/>
      <c r="J781" s="90"/>
      <c r="K781"/>
    </row>
    <row r="782" spans="1:11" ht="18">
      <c r="A782"/>
      <c r="C782" s="257"/>
      <c r="D782" s="262" t="s">
        <v>85</v>
      </c>
      <c r="E782" s="299">
        <f>$G$35</f>
        <v>0.5</v>
      </c>
      <c r="F782" s="257"/>
      <c r="G782" s="262" t="s">
        <v>85</v>
      </c>
      <c r="H782" s="299">
        <f>$G$35</f>
        <v>0.5</v>
      </c>
      <c r="I782"/>
      <c r="J782" s="90"/>
      <c r="K782"/>
    </row>
    <row r="783" spans="1:11" ht="13.5">
      <c r="A783"/>
      <c r="C783" s="257"/>
      <c r="D783" s="298" t="s">
        <v>86</v>
      </c>
      <c r="E783" s="300">
        <f>$G$36</f>
        <v>40</v>
      </c>
      <c r="F783" s="257"/>
      <c r="G783" s="298" t="s">
        <v>86</v>
      </c>
      <c r="H783" s="300">
        <f>$G$36</f>
        <v>40</v>
      </c>
      <c r="I783"/>
      <c r="J783" s="90"/>
      <c r="K783"/>
    </row>
    <row r="784" spans="1:11" ht="13.5">
      <c r="A784"/>
      <c r="C784" s="257"/>
      <c r="D784" s="298" t="s">
        <v>87</v>
      </c>
      <c r="E784" s="300">
        <f>$G$37</f>
        <v>40</v>
      </c>
      <c r="F784" s="257"/>
      <c r="G784" s="298" t="s">
        <v>87</v>
      </c>
      <c r="H784" s="300">
        <f>$G$37</f>
        <v>40</v>
      </c>
      <c r="I784"/>
      <c r="J784" s="90"/>
      <c r="K784"/>
    </row>
    <row r="785" spans="1:11" ht="13.5">
      <c r="A785"/>
      <c r="C785" s="257"/>
      <c r="D785" s="298" t="s">
        <v>399</v>
      </c>
      <c r="E785" s="301">
        <f>$G$21</f>
        <v>0.1</v>
      </c>
      <c r="F785" s="257"/>
      <c r="G785" s="298" t="s">
        <v>399</v>
      </c>
      <c r="H785" s="301">
        <f>$G$21</f>
        <v>0.1</v>
      </c>
      <c r="I785"/>
      <c r="J785" s="90"/>
      <c r="K785"/>
    </row>
    <row r="786" spans="1:11" ht="13.5">
      <c r="A786"/>
      <c r="C786" s="257"/>
      <c r="D786" s="298" t="s">
        <v>400</v>
      </c>
      <c r="E786" s="299">
        <f>G22</f>
        <v>10</v>
      </c>
      <c r="F786" s="257"/>
      <c r="G786" s="298" t="s">
        <v>400</v>
      </c>
      <c r="H786" s="299">
        <f>K22</f>
        <v>0</v>
      </c>
      <c r="I786"/>
      <c r="J786" s="90"/>
      <c r="K786"/>
    </row>
    <row r="787" spans="1:11" ht="13.5">
      <c r="A787"/>
      <c r="C787" s="257"/>
      <c r="D787" s="302" t="s">
        <v>401</v>
      </c>
      <c r="E787" s="303">
        <f>$G$25</f>
        <v>2700</v>
      </c>
      <c r="F787" s="257"/>
      <c r="G787" s="298" t="s">
        <v>401</v>
      </c>
      <c r="H787" s="303">
        <f>$G$25</f>
        <v>2700</v>
      </c>
      <c r="I787"/>
      <c r="J787" s="90"/>
      <c r="K787"/>
    </row>
    <row r="788" spans="1:11" ht="13.5">
      <c r="A788"/>
      <c r="C788" s="144"/>
      <c r="D788" s="304" t="s">
        <v>402</v>
      </c>
      <c r="E788" s="305">
        <f>$G$28</f>
        <v>1.553</v>
      </c>
      <c r="F788" s="144"/>
      <c r="G788" s="306" t="s">
        <v>402</v>
      </c>
      <c r="H788" s="305">
        <f>$G$28</f>
        <v>1.553</v>
      </c>
      <c r="I788"/>
      <c r="J788" s="90"/>
      <c r="K788"/>
    </row>
    <row r="789" spans="1:11" ht="15" thickBot="1">
      <c r="A789"/>
      <c r="C789" s="307"/>
      <c r="D789" s="308" t="s">
        <v>403</v>
      </c>
      <c r="E789" s="309">
        <f>$G$29</f>
        <v>20</v>
      </c>
      <c r="F789" s="224"/>
      <c r="G789" s="310" t="s">
        <v>403</v>
      </c>
      <c r="H789" s="309">
        <f>$G$29</f>
        <v>20</v>
      </c>
      <c r="I789"/>
      <c r="J789" s="90"/>
      <c r="K789"/>
    </row>
    <row r="790" spans="1:11" ht="13.5">
      <c r="A790"/>
      <c r="B790" s="4"/>
      <c r="C790" s="5"/>
      <c r="D790" s="158"/>
      <c r="E790" s="226"/>
      <c r="F790" s="32"/>
      <c r="G790" s="223"/>
      <c r="H790" s="223"/>
      <c r="I790"/>
      <c r="J790" s="90"/>
      <c r="K790"/>
    </row>
    <row r="791" spans="1:11" ht="15" thickBot="1">
      <c r="A791"/>
      <c r="B791" s="4"/>
      <c r="C791" s="5" t="s">
        <v>226</v>
      </c>
      <c r="D791" s="228" t="s">
        <v>404</v>
      </c>
      <c r="E791" s="229" t="s">
        <v>405</v>
      </c>
      <c r="F791" s="5" t="s">
        <v>226</v>
      </c>
      <c r="G791" s="228" t="s">
        <v>404</v>
      </c>
      <c r="H791" s="229" t="s">
        <v>405</v>
      </c>
      <c r="I791"/>
      <c r="J791" s="90"/>
      <c r="K791"/>
    </row>
    <row r="792" spans="1:11" ht="13.5">
      <c r="A792"/>
      <c r="B792" s="263">
        <v>1</v>
      </c>
      <c r="C792" s="277">
        <v>0.7096167009772978</v>
      </c>
      <c r="D792" s="278">
        <v>0.3319690854006956</v>
      </c>
      <c r="E792" s="279">
        <v>-442.5390489819751</v>
      </c>
      <c r="F792" s="280">
        <v>0.08633072550945878</v>
      </c>
      <c r="G792" s="278">
        <v>0.11578929860578199</v>
      </c>
      <c r="H792" s="281">
        <v>-442.4154883774048</v>
      </c>
      <c r="I792"/>
      <c r="J792" s="90"/>
      <c r="K792"/>
    </row>
    <row r="793" spans="1:11" ht="13.5">
      <c r="A793"/>
      <c r="B793" s="264">
        <v>2</v>
      </c>
      <c r="C793" s="282">
        <v>0.7745776508339384</v>
      </c>
      <c r="D793" s="283">
        <v>0.3468312401940036</v>
      </c>
      <c r="E793" s="284">
        <v>-442.0880556053111</v>
      </c>
      <c r="F793" s="285">
        <v>0.10750069200931121</v>
      </c>
      <c r="G793" s="283">
        <v>0.12920858125157952</v>
      </c>
      <c r="H793" s="286">
        <v>-442.90233018258266</v>
      </c>
      <c r="I793"/>
      <c r="J793" s="90"/>
      <c r="K793"/>
    </row>
    <row r="794" spans="1:11" ht="13.5">
      <c r="A794"/>
      <c r="B794" s="264">
        <v>3</v>
      </c>
      <c r="C794" s="287">
        <v>2.0099757291124742</v>
      </c>
      <c r="D794" s="283">
        <v>0.5587031687140921</v>
      </c>
      <c r="E794" s="284">
        <v>-419.1342761251062</v>
      </c>
      <c r="F794" s="288">
        <v>0.3759803623870583</v>
      </c>
      <c r="G794" s="283">
        <v>0.241639711717073</v>
      </c>
      <c r="H794" s="286">
        <v>-449.23144233024914</v>
      </c>
      <c r="I794"/>
      <c r="J794" s="90"/>
      <c r="K794"/>
    </row>
    <row r="795" spans="1:11" ht="13.5">
      <c r="A795"/>
      <c r="B795" s="264">
        <v>4</v>
      </c>
      <c r="C795" s="287">
        <v>2.035777739472726</v>
      </c>
      <c r="D795" s="283">
        <v>0.5622777631563552</v>
      </c>
      <c r="E795" s="289">
        <v>-418.3762107758286</v>
      </c>
      <c r="F795" s="285">
        <v>0.7826634016592215</v>
      </c>
      <c r="G795" s="283">
        <v>0.348636811420821</v>
      </c>
      <c r="H795" s="286">
        <v>-444.15710043189586</v>
      </c>
      <c r="I795"/>
      <c r="J795" s="90"/>
      <c r="K795"/>
    </row>
    <row r="796" spans="1:11" ht="13.5">
      <c r="A796"/>
      <c r="B796" s="264">
        <v>5</v>
      </c>
      <c r="C796" s="287">
        <v>2.2860821604665116</v>
      </c>
      <c r="D796" s="283">
        <v>0.5958427305258068</v>
      </c>
      <c r="E796" s="289">
        <v>-410.4453913985781</v>
      </c>
      <c r="F796" s="285">
        <v>1.252647163516148</v>
      </c>
      <c r="G796" s="283">
        <v>0.44106247232569873</v>
      </c>
      <c r="H796" s="286">
        <v>-443.31084859416023</v>
      </c>
      <c r="I796"/>
      <c r="J796" s="90"/>
      <c r="K796"/>
    </row>
    <row r="797" spans="1:11" ht="13.5">
      <c r="A797"/>
      <c r="B797" s="264">
        <v>6</v>
      </c>
      <c r="C797" s="287">
        <v>2.4501237040212676</v>
      </c>
      <c r="D797" s="283">
        <v>0.6168502340394326</v>
      </c>
      <c r="E797" s="289">
        <v>-404.6826899569779</v>
      </c>
      <c r="F797" s="285">
        <v>18.92669815763176</v>
      </c>
      <c r="G797" s="283">
        <v>1.7144434151876264</v>
      </c>
      <c r="H797" s="286">
        <v>-147.00288711893245</v>
      </c>
      <c r="I797"/>
      <c r="J797" s="90"/>
      <c r="K797"/>
    </row>
    <row r="798" spans="1:11" ht="13.5">
      <c r="A798"/>
      <c r="B798" s="264">
        <v>7</v>
      </c>
      <c r="C798" s="287">
        <v>2.576422649009791</v>
      </c>
      <c r="D798" s="283">
        <v>0.6325491580827695</v>
      </c>
      <c r="E798" s="289">
        <v>-399.94226885629405</v>
      </c>
      <c r="F798" s="285">
        <v>20.142367878064924</v>
      </c>
      <c r="G798" s="283">
        <v>1.768646299140527</v>
      </c>
      <c r="H798" s="286">
        <v>-115.93440217487318</v>
      </c>
      <c r="I798"/>
      <c r="J798" s="90"/>
      <c r="K798"/>
    </row>
    <row r="799" spans="1:11" ht="13.5">
      <c r="A799"/>
      <c r="B799" s="264">
        <v>8</v>
      </c>
      <c r="C799" s="287">
        <v>3.3344168377372707</v>
      </c>
      <c r="D799" s="283">
        <v>0.7196074866902082</v>
      </c>
      <c r="E799" s="284">
        <v>-365.9755811611286</v>
      </c>
      <c r="F799" s="288">
        <v>21.056505051945337</v>
      </c>
      <c r="G799" s="283">
        <v>1.8083349342882005</v>
      </c>
      <c r="H799" s="286">
        <v>-91.89657395132713</v>
      </c>
      <c r="I799"/>
      <c r="J799" s="90"/>
      <c r="K799"/>
    </row>
    <row r="800" spans="1:11" ht="13.5">
      <c r="A800"/>
      <c r="B800" s="264">
        <v>9</v>
      </c>
      <c r="C800" s="287">
        <v>3.5607791118276477</v>
      </c>
      <c r="D800" s="283">
        <v>0.7436322989669247</v>
      </c>
      <c r="E800" s="289">
        <v>-354.00689005659063</v>
      </c>
      <c r="F800" s="288">
        <v>24.391277759497125</v>
      </c>
      <c r="G800" s="283">
        <v>1.946269620594717</v>
      </c>
      <c r="H800" s="286">
        <v>0.4894355844533038</v>
      </c>
      <c r="I800"/>
      <c r="J800" s="90"/>
      <c r="K800"/>
    </row>
    <row r="801" spans="1:11" ht="13.5">
      <c r="A801"/>
      <c r="B801" s="264">
        <v>10</v>
      </c>
      <c r="C801" s="287">
        <v>3.9669631437474973</v>
      </c>
      <c r="D801" s="283">
        <v>0.7849008703167466</v>
      </c>
      <c r="E801" s="289">
        <v>-330.4351619699098</v>
      </c>
      <c r="F801" s="288">
        <v>34.86304475146176</v>
      </c>
      <c r="G801" s="283">
        <v>2.326849984399942</v>
      </c>
      <c r="H801" s="286">
        <v>333.83133548268097</v>
      </c>
      <c r="I801"/>
      <c r="J801" s="90"/>
      <c r="K801"/>
    </row>
    <row r="802" spans="1:11" ht="13.5">
      <c r="A802"/>
      <c r="B802" s="264">
        <v>11</v>
      </c>
      <c r="C802" s="282">
        <v>4.172638598454759</v>
      </c>
      <c r="D802" s="283">
        <v>0.8049911641378582</v>
      </c>
      <c r="E802" s="284">
        <v>-317.47523775692855</v>
      </c>
      <c r="F802" s="285">
        <v>69.25039974853053</v>
      </c>
      <c r="G802" s="283">
        <v>3.2794187108307455</v>
      </c>
      <c r="H802" s="286">
        <v>1795.025483123417</v>
      </c>
      <c r="I802"/>
      <c r="J802" s="90"/>
      <c r="K802"/>
    </row>
    <row r="803" spans="1:11" ht="13.5">
      <c r="A803"/>
      <c r="B803" s="264">
        <v>12</v>
      </c>
      <c r="C803" s="287">
        <v>4.513327626066959</v>
      </c>
      <c r="D803" s="283">
        <v>0.837209519969881</v>
      </c>
      <c r="E803" s="289">
        <v>-294.4959328849383</v>
      </c>
      <c r="F803" s="285">
        <v>93.00587741695614</v>
      </c>
      <c r="G803" s="283">
        <v>3.8005016462111008</v>
      </c>
      <c r="H803" s="286">
        <v>3066.453388837839</v>
      </c>
      <c r="I803"/>
      <c r="J803" s="90"/>
      <c r="K803"/>
    </row>
    <row r="804" spans="1:11" ht="13.5">
      <c r="A804"/>
      <c r="B804" s="264">
        <v>13</v>
      </c>
      <c r="C804" s="287">
        <v>5.710568459563339</v>
      </c>
      <c r="D804" s="283">
        <v>0.9417278172434891</v>
      </c>
      <c r="E804" s="289">
        <v>-198.82488877695323</v>
      </c>
      <c r="F804" s="285">
        <v>106.63164330656117</v>
      </c>
      <c r="G804" s="283">
        <v>4.0693849910654745</v>
      </c>
      <c r="H804" s="286">
        <v>3877.3042240388313</v>
      </c>
      <c r="I804"/>
      <c r="J804" s="90"/>
      <c r="K804"/>
    </row>
    <row r="805" spans="1:11" ht="13.5">
      <c r="A805"/>
      <c r="B805" s="264">
        <v>14</v>
      </c>
      <c r="C805" s="287">
        <v>5.838045657187783</v>
      </c>
      <c r="D805" s="283">
        <v>0.9521809127268108</v>
      </c>
      <c r="E805" s="289">
        <v>-187.2727046315091</v>
      </c>
      <c r="F805" s="285">
        <v>119.85323880466964</v>
      </c>
      <c r="G805" s="283">
        <v>4.314302723078805</v>
      </c>
      <c r="H805" s="286">
        <v>4716.094639136169</v>
      </c>
      <c r="I805"/>
      <c r="J805" s="90"/>
      <c r="K805"/>
    </row>
    <row r="806" spans="1:11" ht="13.5">
      <c r="A806"/>
      <c r="B806" s="264">
        <v>15</v>
      </c>
      <c r="C806" s="287">
        <v>6.099186395022249</v>
      </c>
      <c r="D806" s="283">
        <v>0.9732438785561177</v>
      </c>
      <c r="E806" s="289">
        <v>-162.78829404750525</v>
      </c>
      <c r="F806" s="288">
        <v>120.74010342497994</v>
      </c>
      <c r="G806" s="283">
        <v>4.330235335625465</v>
      </c>
      <c r="H806" s="286">
        <v>4774.113911826671</v>
      </c>
      <c r="I806"/>
      <c r="J806" s="90"/>
      <c r="K806"/>
    </row>
    <row r="807" spans="1:11" ht="13.5">
      <c r="A807"/>
      <c r="B807" s="264">
        <v>16</v>
      </c>
      <c r="C807" s="287">
        <v>6.746734144941078</v>
      </c>
      <c r="D807" s="283">
        <v>1.0236053012315585</v>
      </c>
      <c r="E807" s="289">
        <v>-97.32695826011445</v>
      </c>
      <c r="F807" s="285">
        <v>136.31413651359838</v>
      </c>
      <c r="G807" s="283">
        <v>4.601041773398915</v>
      </c>
      <c r="H807" s="286">
        <v>5827.490108810429</v>
      </c>
      <c r="I807"/>
      <c r="J807" s="90"/>
      <c r="K807"/>
    </row>
    <row r="808" spans="1:11" ht="13.5">
      <c r="A808"/>
      <c r="B808" s="264">
        <v>17</v>
      </c>
      <c r="C808" s="287">
        <v>7.264195522456438</v>
      </c>
      <c r="D808" s="283">
        <v>1.0621344381185862</v>
      </c>
      <c r="E808" s="289">
        <v>-40.156457019741765</v>
      </c>
      <c r="F808" s="285">
        <v>139.9844153740374</v>
      </c>
      <c r="G808" s="283">
        <v>4.662572220093541</v>
      </c>
      <c r="H808" s="286">
        <v>6084.998003933408</v>
      </c>
      <c r="I808"/>
      <c r="J808" s="90"/>
      <c r="K808"/>
    </row>
    <row r="809" spans="1:11" ht="13.5">
      <c r="A809"/>
      <c r="B809" s="264">
        <v>18</v>
      </c>
      <c r="C809" s="287">
        <v>7.548093081733347</v>
      </c>
      <c r="D809" s="283">
        <v>1.0826905631773045</v>
      </c>
      <c r="E809" s="289">
        <v>-6.958122526855277</v>
      </c>
      <c r="F809" s="285">
        <v>147.0583743579695</v>
      </c>
      <c r="G809" s="283">
        <v>4.778929329650383</v>
      </c>
      <c r="H809" s="286">
        <v>6590.9552243399885</v>
      </c>
      <c r="I809"/>
      <c r="J809" s="90"/>
      <c r="K809"/>
    </row>
    <row r="810" spans="1:11" ht="13.5">
      <c r="A810"/>
      <c r="B810" s="264">
        <v>19</v>
      </c>
      <c r="C810" s="287">
        <v>8.195679309950341</v>
      </c>
      <c r="D810" s="283">
        <v>1.1281795055908823</v>
      </c>
      <c r="E810" s="289">
        <v>73.62505574560328</v>
      </c>
      <c r="F810" s="285">
        <v>150.6103667070247</v>
      </c>
      <c r="G810" s="283">
        <v>4.836299199760177</v>
      </c>
      <c r="H810" s="286">
        <v>6849.718111829381</v>
      </c>
      <c r="I810"/>
      <c r="J810" s="90"/>
      <c r="K810"/>
    </row>
    <row r="811" spans="1:11" ht="13.5">
      <c r="A811"/>
      <c r="B811" s="264">
        <v>20</v>
      </c>
      <c r="C811" s="282">
        <v>8.557253313184807</v>
      </c>
      <c r="D811" s="283">
        <v>1.1527972239459985</v>
      </c>
      <c r="E811" s="284">
        <v>121.55386937760954</v>
      </c>
      <c r="F811" s="285">
        <v>155.16825105950403</v>
      </c>
      <c r="G811" s="283">
        <v>4.908933630590353</v>
      </c>
      <c r="H811" s="286">
        <v>7186.294600882211</v>
      </c>
      <c r="I811"/>
      <c r="J811" s="90"/>
      <c r="K811"/>
    </row>
    <row r="812" spans="1:11" ht="13.5">
      <c r="A812"/>
      <c r="B812" s="264">
        <v>21</v>
      </c>
      <c r="C812" s="287">
        <v>8.92830288597323</v>
      </c>
      <c r="D812" s="283">
        <v>1.1775251327218637</v>
      </c>
      <c r="E812" s="289">
        <v>172.9249740210878</v>
      </c>
      <c r="F812" s="285">
        <v>156.4911233855998</v>
      </c>
      <c r="G812" s="283">
        <v>4.929814546388499</v>
      </c>
      <c r="H812" s="286">
        <v>7284.926369883931</v>
      </c>
      <c r="I812"/>
      <c r="J812" s="90"/>
      <c r="K812"/>
    </row>
    <row r="813" spans="1:11" ht="13.5">
      <c r="A813"/>
      <c r="B813" s="264">
        <v>22</v>
      </c>
      <c r="C813" s="287">
        <v>9.189627367051534</v>
      </c>
      <c r="D813" s="283">
        <v>1.1946334710291282</v>
      </c>
      <c r="E813" s="289">
        <v>210.43350777822798</v>
      </c>
      <c r="F813" s="288">
        <v>157.20223738155482</v>
      </c>
      <c r="G813" s="283">
        <v>4.941002678136844</v>
      </c>
      <c r="H813" s="286">
        <v>7338.120507166259</v>
      </c>
      <c r="I813"/>
      <c r="J813" s="90"/>
      <c r="K813"/>
    </row>
    <row r="814" spans="1:11" ht="13.5">
      <c r="A814"/>
      <c r="B814" s="264">
        <v>23</v>
      </c>
      <c r="C814" s="287">
        <v>9.485799633839198</v>
      </c>
      <c r="D814" s="283">
        <v>1.2137317179406772</v>
      </c>
      <c r="E814" s="289">
        <v>254.27103164719415</v>
      </c>
      <c r="F814" s="285">
        <v>172.0246669146615</v>
      </c>
      <c r="G814" s="283">
        <v>5.168697202569225</v>
      </c>
      <c r="H814" s="286">
        <v>8474.163003357433</v>
      </c>
      <c r="I814"/>
      <c r="J814" s="90"/>
      <c r="K814"/>
    </row>
    <row r="815" spans="1:11" ht="13.5">
      <c r="A815"/>
      <c r="B815" s="264">
        <v>24</v>
      </c>
      <c r="C815" s="287">
        <v>9.823501830954475</v>
      </c>
      <c r="D815" s="283">
        <v>1.2351476973816653</v>
      </c>
      <c r="E815" s="289">
        <v>305.975801277679</v>
      </c>
      <c r="F815" s="288">
        <v>233.72699897392084</v>
      </c>
      <c r="G815" s="283">
        <v>6.02476579965146</v>
      </c>
      <c r="H815" s="286">
        <v>13723.733084286418</v>
      </c>
      <c r="I815"/>
      <c r="J815" s="90"/>
      <c r="K815"/>
    </row>
    <row r="816" spans="1:11" ht="15" thickBot="1">
      <c r="A816"/>
      <c r="B816" s="265">
        <v>25</v>
      </c>
      <c r="C816" s="290">
        <v>9.837471638550275</v>
      </c>
      <c r="D816" s="291">
        <v>1.2360256249232284</v>
      </c>
      <c r="E816" s="292">
        <v>308.1541594374967</v>
      </c>
      <c r="F816" s="293">
        <v>235.52275130779546</v>
      </c>
      <c r="G816" s="291">
        <v>6.0478660102635065</v>
      </c>
      <c r="H816" s="294">
        <v>13888.273395507895</v>
      </c>
      <c r="I816"/>
      <c r="J816" s="90"/>
      <c r="K816"/>
    </row>
    <row r="817" spans="3:10" ht="12">
      <c r="C817" s="17"/>
      <c r="D817" s="227"/>
      <c r="E817" s="184"/>
      <c r="H817" s="6"/>
      <c r="J817" s="84"/>
    </row>
    <row r="818" spans="3:8" ht="12">
      <c r="C818" s="16"/>
      <c r="D818" s="227"/>
      <c r="E818" s="184"/>
      <c r="H818" s="6"/>
    </row>
    <row r="819" spans="2:9" ht="15">
      <c r="B819" s="92" t="s">
        <v>406</v>
      </c>
      <c r="C819" s="157"/>
      <c r="D819" s="31"/>
      <c r="I819" s="6"/>
    </row>
    <row r="820" spans="2:9" ht="13.5">
      <c r="B820" s="90"/>
      <c r="C820" s="90" t="s">
        <v>407</v>
      </c>
      <c r="D820" s="31"/>
      <c r="I820" s="6"/>
    </row>
    <row r="821" spans="2:9" ht="13.5">
      <c r="B821" s="90" t="s">
        <v>408</v>
      </c>
      <c r="C821" s="90"/>
      <c r="D821" s="31"/>
      <c r="I821" s="6"/>
    </row>
    <row r="822" spans="2:9" ht="13.5">
      <c r="B822" s="90" t="s">
        <v>409</v>
      </c>
      <c r="C822" s="90"/>
      <c r="D822" s="31"/>
      <c r="I822" s="6"/>
    </row>
    <row r="823" spans="2:14" ht="13.5">
      <c r="B823" s="90" t="s">
        <v>410</v>
      </c>
      <c r="C823" s="90"/>
      <c r="D823" s="31"/>
      <c r="I823" s="6"/>
      <c r="N823" s="23"/>
    </row>
    <row r="824" spans="2:14" ht="13.5">
      <c r="B824" s="90"/>
      <c r="C824" s="90"/>
      <c r="D824" s="31"/>
      <c r="I824" s="6"/>
      <c r="N824" s="23"/>
    </row>
    <row r="825" spans="2:14" ht="15" thickBot="1">
      <c r="B825" s="94">
        <v>23</v>
      </c>
      <c r="C825" s="218" t="s">
        <v>411</v>
      </c>
      <c r="D825" s="90"/>
      <c r="E825"/>
      <c r="I825" s="6"/>
      <c r="N825" s="23"/>
    </row>
    <row r="826" spans="2:9" ht="15" thickBot="1">
      <c r="B826" s="90"/>
      <c r="C826" s="103" t="s">
        <v>6</v>
      </c>
      <c r="D826" s="260">
        <f>$G$12*$E$625*1.5</f>
        <v>1312.3983149999685</v>
      </c>
      <c r="E826" s="260">
        <f>F650</f>
        <v>-4</v>
      </c>
      <c r="F826" s="242" t="s">
        <v>7</v>
      </c>
      <c r="H826" s="116"/>
      <c r="I826" s="6"/>
    </row>
    <row r="827" spans="2:9" ht="13.5">
      <c r="B827" s="90"/>
      <c r="C827" s="90"/>
      <c r="D827" s="31"/>
      <c r="I827" s="6"/>
    </row>
    <row r="828" spans="2:11" ht="15" thickBot="1">
      <c r="B828" s="94">
        <v>24</v>
      </c>
      <c r="C828" s="114" t="s">
        <v>412</v>
      </c>
      <c r="D828" s="90"/>
      <c r="E828"/>
      <c r="F828"/>
      <c r="G828"/>
      <c r="H828"/>
      <c r="I828"/>
      <c r="J828"/>
      <c r="K828"/>
    </row>
    <row r="829" spans="2:11" ht="13.5">
      <c r="B829" s="94"/>
      <c r="C829" s="254"/>
      <c r="D829" s="187"/>
      <c r="E829" s="268"/>
      <c r="F829" s="187"/>
      <c r="G829" s="269">
        <v>2</v>
      </c>
      <c r="H829"/>
      <c r="I829"/>
      <c r="J829"/>
      <c r="K829"/>
    </row>
    <row r="830" spans="2:11" ht="15" thickBot="1">
      <c r="B830" s="94"/>
      <c r="C830" s="102" t="s">
        <v>413</v>
      </c>
      <c r="D830" s="271">
        <f>$D$826</f>
        <v>1312.3983149999685</v>
      </c>
      <c r="E830" s="276" t="s">
        <v>414</v>
      </c>
      <c r="F830" s="271">
        <f>E826</f>
        <v>-4</v>
      </c>
      <c r="G830" s="272" t="s">
        <v>25</v>
      </c>
      <c r="H830" s="214"/>
      <c r="I830" s="238"/>
      <c r="J830" s="214"/>
      <c r="K830" s="23"/>
    </row>
    <row r="831" spans="2:9" ht="13.5">
      <c r="B831" s="90"/>
      <c r="C831" s="31"/>
      <c r="D831" s="31"/>
      <c r="I831" s="6"/>
    </row>
    <row r="832" spans="2:10" ht="15" thickBot="1">
      <c r="B832" s="94">
        <v>25</v>
      </c>
      <c r="C832" s="114" t="s">
        <v>415</v>
      </c>
      <c r="D832" s="90"/>
      <c r="E832"/>
      <c r="F832"/>
      <c r="G832"/>
      <c r="H832"/>
      <c r="I832"/>
      <c r="J832"/>
    </row>
    <row r="833" spans="2:10" ht="15" thickBot="1">
      <c r="B833" s="94"/>
      <c r="C833" s="103" t="s">
        <v>416</v>
      </c>
      <c r="D833" s="274">
        <f>D830</f>
        <v>1312.3983149999685</v>
      </c>
      <c r="E833" s="275">
        <f>$F$830*$G$829</f>
        <v>-8</v>
      </c>
      <c r="F833" s="242" t="s">
        <v>25</v>
      </c>
      <c r="G833" s="32"/>
      <c r="H833" s="214"/>
      <c r="I833" s="230"/>
      <c r="J833" s="23"/>
    </row>
    <row r="834" spans="2:10" ht="13.5">
      <c r="B834" s="90"/>
      <c r="C834" s="31"/>
      <c r="D834" s="31"/>
      <c r="F834" s="5"/>
      <c r="G834" s="32"/>
      <c r="H834" s="214"/>
      <c r="I834" s="230"/>
      <c r="J834" s="23"/>
    </row>
    <row r="835" spans="2:12" ht="15" thickBot="1">
      <c r="B835" s="94">
        <v>26</v>
      </c>
      <c r="C835" s="114" t="s">
        <v>417</v>
      </c>
      <c r="D835" s="90"/>
      <c r="E835"/>
      <c r="G835"/>
      <c r="H835"/>
      <c r="I835"/>
      <c r="J835"/>
      <c r="K835"/>
      <c r="L835"/>
    </row>
    <row r="836" spans="2:12" ht="13.5">
      <c r="B836" s="90"/>
      <c r="C836" s="254"/>
      <c r="D836" s="187"/>
      <c r="E836" s="268"/>
      <c r="F836" s="187"/>
      <c r="G836" s="187"/>
      <c r="H836" s="269">
        <f>$G$32</f>
        <v>2</v>
      </c>
      <c r="I836"/>
      <c r="J836"/>
      <c r="K836"/>
      <c r="L836"/>
    </row>
    <row r="837" spans="2:12" ht="15" thickBot="1">
      <c r="B837" s="90"/>
      <c r="C837" s="102" t="s">
        <v>23</v>
      </c>
      <c r="D837" s="206">
        <f>$D$729</f>
        <v>463.41137104518674</v>
      </c>
      <c r="E837" s="273">
        <f>$G$18</f>
        <v>21.553</v>
      </c>
      <c r="F837" s="128" t="s">
        <v>513</v>
      </c>
      <c r="G837" s="206">
        <f>$G$19</f>
        <v>8</v>
      </c>
      <c r="H837" s="272" t="s">
        <v>25</v>
      </c>
      <c r="I837" s="215"/>
      <c r="J837" s="23"/>
      <c r="K837" s="110"/>
      <c r="L837" s="23"/>
    </row>
    <row r="838" spans="2:9" ht="13.5">
      <c r="B838" s="90"/>
      <c r="C838" s="31"/>
      <c r="D838" s="31"/>
      <c r="I838" s="6"/>
    </row>
    <row r="839" spans="2:11" ht="15" thickBot="1">
      <c r="B839" s="94">
        <v>27</v>
      </c>
      <c r="C839" s="114" t="s">
        <v>418</v>
      </c>
      <c r="E839"/>
      <c r="G839"/>
      <c r="H839"/>
      <c r="I839"/>
      <c r="J839"/>
      <c r="K839"/>
    </row>
    <row r="840" spans="2:11" ht="13.5">
      <c r="B840" s="90"/>
      <c r="C840" s="254"/>
      <c r="D840" s="187"/>
      <c r="E840" s="268"/>
      <c r="F840" s="187"/>
      <c r="G840" s="269">
        <f>$H$836-1</f>
        <v>1</v>
      </c>
      <c r="H840"/>
      <c r="I840"/>
      <c r="J840"/>
      <c r="K840"/>
    </row>
    <row r="841" spans="2:11" ht="15" thickBot="1">
      <c r="B841" s="90"/>
      <c r="C841" s="102" t="s">
        <v>117</v>
      </c>
      <c r="D841" s="206">
        <f>E837</f>
        <v>21.553</v>
      </c>
      <c r="E841" s="270" t="s">
        <v>118</v>
      </c>
      <c r="F841" s="271">
        <f>G837*$H$836</f>
        <v>16</v>
      </c>
      <c r="G841" s="272" t="s">
        <v>25</v>
      </c>
      <c r="H841" s="110"/>
      <c r="I841" s="225"/>
      <c r="J841" s="214"/>
      <c r="K841" s="23"/>
    </row>
    <row r="842" spans="2:11" ht="13.5">
      <c r="B842" s="90"/>
      <c r="C842"/>
      <c r="D842"/>
      <c r="E842"/>
      <c r="F842"/>
      <c r="G842" s="32"/>
      <c r="H842" s="110"/>
      <c r="I842" s="225"/>
      <c r="J842" s="214"/>
      <c r="K842" s="23"/>
    </row>
    <row r="843" spans="2:11" ht="15" thickBot="1">
      <c r="B843" s="94">
        <v>28</v>
      </c>
      <c r="C843" s="114" t="s">
        <v>419</v>
      </c>
      <c r="D843" s="31"/>
      <c r="E843" s="259" t="s">
        <v>420</v>
      </c>
      <c r="F843" s="5"/>
      <c r="G843" s="32"/>
      <c r="H843" s="110"/>
      <c r="I843" s="225"/>
      <c r="J843" s="214"/>
      <c r="K843" s="23"/>
    </row>
    <row r="844" spans="2:12" ht="13.5">
      <c r="B844" s="147"/>
      <c r="C844" s="254"/>
      <c r="D844" s="187"/>
      <c r="E844" s="268"/>
      <c r="F844" s="187"/>
      <c r="G844" s="187"/>
      <c r="H844" s="187"/>
      <c r="I844" s="269">
        <f>$G$840</f>
        <v>1</v>
      </c>
      <c r="J844"/>
      <c r="K844"/>
      <c r="L844"/>
    </row>
    <row r="845" spans="2:12" ht="15" thickBot="1">
      <c r="B845" s="147"/>
      <c r="C845" s="314">
        <f>D833</f>
        <v>1312.3983149999685</v>
      </c>
      <c r="D845" s="321">
        <f>E833</f>
        <v>-8</v>
      </c>
      <c r="E845" s="128" t="s">
        <v>421</v>
      </c>
      <c r="F845" s="206">
        <f>D841</f>
        <v>21.553</v>
      </c>
      <c r="G845" s="128" t="s">
        <v>422</v>
      </c>
      <c r="H845" s="271">
        <f>F841</f>
        <v>16</v>
      </c>
      <c r="I845" s="272" t="s">
        <v>25</v>
      </c>
      <c r="J845"/>
      <c r="K845"/>
      <c r="L845"/>
    </row>
    <row r="846" spans="2:12" ht="13.5">
      <c r="B846" s="147"/>
      <c r="C846" s="317"/>
      <c r="D846" s="328"/>
      <c r="E846" s="156"/>
      <c r="F846" s="148"/>
      <c r="G846" s="156"/>
      <c r="H846" s="317"/>
      <c r="I846" s="156"/>
      <c r="J846"/>
      <c r="K846"/>
      <c r="L846"/>
    </row>
    <row r="847" spans="2:12" ht="15" thickBot="1">
      <c r="B847" s="90"/>
      <c r="C847" s="311" t="s">
        <v>423</v>
      </c>
      <c r="D847" s="5"/>
      <c r="E847" s="32"/>
      <c r="F847" s="214"/>
      <c r="G847" s="230"/>
      <c r="H847" s="23"/>
      <c r="I847" s="110"/>
      <c r="J847" s="23"/>
      <c r="K847" s="214"/>
      <c r="L847" s="23"/>
    </row>
    <row r="848" spans="2:12" ht="13.5">
      <c r="B848" s="90"/>
      <c r="C848"/>
      <c r="D848" s="312"/>
      <c r="E848" s="313"/>
      <c r="F848" s="205"/>
      <c r="G848" s="207"/>
      <c r="H848" s="205"/>
      <c r="I848" s="269">
        <f>$G$840</f>
        <v>1</v>
      </c>
      <c r="J848"/>
      <c r="K848"/>
      <c r="L848" s="23"/>
    </row>
    <row r="849" spans="2:12" ht="15" thickBot="1">
      <c r="B849" s="90"/>
      <c r="C849" s="98"/>
      <c r="D849" s="314">
        <f>C845-F845</f>
        <v>1290.8453149999684</v>
      </c>
      <c r="E849" s="315" t="s">
        <v>424</v>
      </c>
      <c r="F849" s="271">
        <f>-D845</f>
        <v>8</v>
      </c>
      <c r="G849" s="206" t="s">
        <v>425</v>
      </c>
      <c r="H849" s="271">
        <f>H845</f>
        <v>16</v>
      </c>
      <c r="I849" s="316" t="s">
        <v>25</v>
      </c>
      <c r="J849"/>
      <c r="K849"/>
      <c r="L849" s="23"/>
    </row>
    <row r="850" spans="2:12" ht="13.5">
      <c r="B850" s="90"/>
      <c r="C850" s="322" t="s">
        <v>592</v>
      </c>
      <c r="D850" s="317"/>
      <c r="E850" s="318"/>
      <c r="F850" s="317"/>
      <c r="G850" s="148"/>
      <c r="H850" s="317"/>
      <c r="I850" s="317"/>
      <c r="J850"/>
      <c r="K850"/>
      <c r="L850" s="23"/>
    </row>
    <row r="851" spans="2:12" ht="15" thickBot="1">
      <c r="B851" s="90"/>
      <c r="C851"/>
      <c r="D851" s="5"/>
      <c r="E851" s="98"/>
      <c r="F851" s="317"/>
      <c r="G851" s="318"/>
      <c r="H851" s="317"/>
      <c r="I851" s="148"/>
      <c r="J851" s="317"/>
      <c r="K851" s="317"/>
      <c r="L851" s="23"/>
    </row>
    <row r="852" spans="2:12" ht="13.5">
      <c r="B852" s="5"/>
      <c r="C852"/>
      <c r="D852" s="312"/>
      <c r="E852" s="319"/>
      <c r="F852" s="320"/>
      <c r="G852" s="207"/>
      <c r="H852" s="320"/>
      <c r="I852" s="269">
        <f>$G$840</f>
        <v>1</v>
      </c>
      <c r="J852"/>
      <c r="K852"/>
      <c r="L852" s="23"/>
    </row>
    <row r="853" spans="2:12" ht="15" thickBot="1">
      <c r="B853" s="5"/>
      <c r="C853" s="98"/>
      <c r="D853" s="314">
        <f>D849/F849</f>
        <v>161.35566437499605</v>
      </c>
      <c r="E853" s="315" t="str">
        <f>E849</f>
        <v>   =</v>
      </c>
      <c r="F853" s="271">
        <f>F849/F849</f>
        <v>1</v>
      </c>
      <c r="G853" s="206" t="s">
        <v>593</v>
      </c>
      <c r="H853" s="271">
        <f>H849/F849</f>
        <v>2</v>
      </c>
      <c r="I853" s="316" t="s">
        <v>25</v>
      </c>
      <c r="J853"/>
      <c r="K853"/>
      <c r="L853" s="23"/>
    </row>
    <row r="854" spans="2:12" ht="15" thickBot="1">
      <c r="B854" s="90"/>
      <c r="C854" s="31"/>
      <c r="D854" s="5"/>
      <c r="E854" s="32"/>
      <c r="F854" s="214"/>
      <c r="G854" s="183"/>
      <c r="H854" s="214"/>
      <c r="I854" s="110"/>
      <c r="J854" s="214"/>
      <c r="K854" s="214"/>
      <c r="L854" s="23"/>
    </row>
    <row r="855" spans="2:7" ht="15" thickBot="1">
      <c r="B855" s="90"/>
      <c r="C855" s="31"/>
      <c r="D855" s="103" t="s">
        <v>14</v>
      </c>
      <c r="E855" s="461">
        <f>D853/3</f>
        <v>53.78522145833202</v>
      </c>
      <c r="F855" s="237" t="s">
        <v>594</v>
      </c>
      <c r="G855" s="231"/>
    </row>
    <row r="856" spans="2:16" ht="15" thickBot="1">
      <c r="B856" s="90"/>
      <c r="C856" s="31"/>
      <c r="D856" s="31"/>
      <c r="E856" s="31"/>
      <c r="G856"/>
      <c r="H856"/>
      <c r="I856"/>
      <c r="J856"/>
      <c r="K856"/>
      <c r="L856"/>
      <c r="M856"/>
      <c r="N856"/>
      <c r="O856"/>
      <c r="P856"/>
    </row>
    <row r="857" spans="2:15" ht="16.5" thickBot="1">
      <c r="B857" s="323">
        <v>29</v>
      </c>
      <c r="C857" s="114" t="s">
        <v>595</v>
      </c>
      <c r="D857" s="90"/>
      <c r="E857"/>
      <c r="F857" s="90"/>
      <c r="G857" s="103" t="s">
        <v>15</v>
      </c>
      <c r="H857" s="324">
        <f>$D$826+$E$826*$E$855</f>
        <v>1097.2574291666406</v>
      </c>
      <c r="I857" s="141"/>
      <c r="J857" s="17"/>
      <c r="O857" s="11"/>
    </row>
    <row r="858" spans="2:15" ht="15" thickBot="1">
      <c r="B858" s="90"/>
      <c r="C858" s="94"/>
      <c r="D858" s="90"/>
      <c r="E858" s="90"/>
      <c r="F858" s="90"/>
      <c r="G858" s="90"/>
      <c r="H858" s="90"/>
      <c r="I858" s="325"/>
      <c r="O858" s="11"/>
    </row>
    <row r="859" spans="2:15" ht="15.75">
      <c r="B859" s="90"/>
      <c r="C859" s="245"/>
      <c r="D859" s="90"/>
      <c r="E859" s="90"/>
      <c r="F859" s="100" t="s">
        <v>596</v>
      </c>
      <c r="G859" s="101" t="s">
        <v>413</v>
      </c>
      <c r="H859" s="326">
        <f>D830*E855+F830*(E855^2)</f>
        <v>59016.23382452781</v>
      </c>
      <c r="I859" s="325"/>
      <c r="O859" s="11"/>
    </row>
    <row r="860" spans="2:15" ht="16.5" thickBot="1">
      <c r="B860" s="90"/>
      <c r="C860" s="245"/>
      <c r="D860" s="90"/>
      <c r="E860" s="90"/>
      <c r="F860" s="100" t="s">
        <v>597</v>
      </c>
      <c r="G860" s="102" t="s">
        <v>23</v>
      </c>
      <c r="H860" s="327">
        <f>D673+E673*E855+G673*E855^2</f>
        <v>24741.445822848764</v>
      </c>
      <c r="I860" s="325"/>
      <c r="O860" s="11"/>
    </row>
    <row r="861" spans="2:15" ht="16.5" thickBot="1">
      <c r="B861" s="90"/>
      <c r="C861" s="245"/>
      <c r="D861" s="90"/>
      <c r="E861" s="90"/>
      <c r="F861" s="100" t="s">
        <v>598</v>
      </c>
      <c r="G861" s="102" t="s">
        <v>599</v>
      </c>
      <c r="H861" s="327">
        <f>H859-H860</f>
        <v>34274.788001679044</v>
      </c>
      <c r="I861" s="325"/>
      <c r="N861" s="11"/>
      <c r="O861" s="11"/>
    </row>
    <row r="862" spans="2:15" ht="13.5">
      <c r="B862" s="90"/>
      <c r="C862" s="91"/>
      <c r="D862" s="90"/>
      <c r="E862" s="90"/>
      <c r="F862" s="90"/>
      <c r="G862" s="90"/>
      <c r="H862" s="90"/>
      <c r="I862" s="325"/>
      <c r="N862" s="11"/>
      <c r="O862" s="11"/>
    </row>
    <row r="863" spans="2:15" ht="13.5">
      <c r="B863" s="90"/>
      <c r="C863"/>
      <c r="D863" s="90"/>
      <c r="E863" s="90"/>
      <c r="F863" s="90"/>
      <c r="G863" s="90"/>
      <c r="H863" s="90"/>
      <c r="I863" s="90"/>
      <c r="N863" s="11"/>
      <c r="O863" s="11"/>
    </row>
    <row r="864" spans="1:15" ht="13.5">
      <c r="A864" s="21"/>
      <c r="B864" s="90"/>
      <c r="C864"/>
      <c r="D864" s="90"/>
      <c r="E864" s="90"/>
      <c r="F864" s="90"/>
      <c r="G864" s="90"/>
      <c r="H864" s="90"/>
      <c r="I864" s="90"/>
      <c r="N864" s="11"/>
      <c r="O864" s="11"/>
    </row>
    <row r="865" spans="1:40" ht="13.5">
      <c r="A865" s="11"/>
      <c r="B865" s="90"/>
      <c r="C865" s="91"/>
      <c r="D865" s="90"/>
      <c r="E865" s="90"/>
      <c r="F865"/>
      <c r="G865" s="90"/>
      <c r="H865" s="90"/>
      <c r="I865" s="90"/>
      <c r="N865" s="11"/>
      <c r="O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</row>
    <row r="866" spans="1:40" ht="13.5">
      <c r="A866" s="11"/>
      <c r="B866" s="91" t="s">
        <v>600</v>
      </c>
      <c r="C866"/>
      <c r="D866" s="90"/>
      <c r="E866" s="90"/>
      <c r="F866" s="100"/>
      <c r="G866" s="90"/>
      <c r="H866" s="90"/>
      <c r="I866" s="90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</row>
    <row r="867" spans="2:13" s="11" customFormat="1" ht="13.5">
      <c r="B867" s="91" t="s">
        <v>601</v>
      </c>
      <c r="C867"/>
      <c r="D867" s="90"/>
      <c r="E867" s="90"/>
      <c r="F867" s="100"/>
      <c r="G867" s="90"/>
      <c r="H867" s="90"/>
      <c r="I867" s="90"/>
      <c r="J867" s="1"/>
      <c r="K867" s="1"/>
      <c r="L867" s="1"/>
      <c r="M867" s="1"/>
    </row>
    <row r="868" spans="2:13" s="11" customFormat="1" ht="13.5">
      <c r="B868" s="90"/>
      <c r="C868" s="91"/>
      <c r="D868" s="90"/>
      <c r="E868" s="90"/>
      <c r="F868" s="100"/>
      <c r="G868" s="90"/>
      <c r="H868" s="90"/>
      <c r="I868" s="90"/>
      <c r="J868" s="1"/>
      <c r="K868" s="1"/>
      <c r="L868" s="1"/>
      <c r="M868" s="1"/>
    </row>
    <row r="869" spans="2:13" s="11" customFormat="1" ht="13.5">
      <c r="B869" s="90"/>
      <c r="C869" s="91"/>
      <c r="D869" s="90"/>
      <c r="E869" s="90"/>
      <c r="F869" s="100"/>
      <c r="G869" s="90"/>
      <c r="H869" s="90"/>
      <c r="I869" s="90"/>
      <c r="J869" s="1"/>
      <c r="K869" s="1"/>
      <c r="L869" s="1"/>
      <c r="M869" s="1"/>
    </row>
    <row r="870" spans="2:13" s="11" customFormat="1" ht="13.5">
      <c r="B870" s="90"/>
      <c r="C870" s="91"/>
      <c r="D870" s="90"/>
      <c r="E870" s="90"/>
      <c r="F870" s="100"/>
      <c r="G870" s="90"/>
      <c r="H870" s="90"/>
      <c r="I870" s="90"/>
      <c r="J870" s="1"/>
      <c r="K870" s="1"/>
      <c r="L870" s="1"/>
      <c r="M870" s="1"/>
    </row>
    <row r="871" spans="2:13" s="11" customFormat="1" ht="13.5">
      <c r="B871" s="90"/>
      <c r="C871" s="91"/>
      <c r="D871" s="90"/>
      <c r="E871" s="90"/>
      <c r="F871" s="100"/>
      <c r="G871" s="90"/>
      <c r="H871" s="90"/>
      <c r="I871" s="90"/>
      <c r="J871" s="1"/>
      <c r="K871" s="1"/>
      <c r="L871" s="1"/>
      <c r="M871" s="1"/>
    </row>
    <row r="872" spans="2:13" s="11" customFormat="1" ht="13.5">
      <c r="B872" s="90"/>
      <c r="C872" s="91"/>
      <c r="D872" s="90"/>
      <c r="E872" s="90"/>
      <c r="F872" s="100"/>
      <c r="G872" s="90"/>
      <c r="H872" s="90"/>
      <c r="I872" s="90"/>
      <c r="J872" s="1"/>
      <c r="K872" s="1"/>
      <c r="L872" s="1"/>
      <c r="M872" s="1"/>
    </row>
    <row r="873" spans="2:13" s="11" customFormat="1" ht="13.5">
      <c r="B873" s="90"/>
      <c r="C873" s="91"/>
      <c r="D873" s="90"/>
      <c r="E873" s="90"/>
      <c r="F873" s="100"/>
      <c r="G873" s="90"/>
      <c r="H873" s="90"/>
      <c r="I873" s="90"/>
      <c r="J873" s="1"/>
      <c r="K873" s="1"/>
      <c r="L873" s="1"/>
      <c r="M873" s="1"/>
    </row>
    <row r="874" spans="2:13" s="11" customFormat="1" ht="13.5">
      <c r="B874" s="90"/>
      <c r="C874" s="91"/>
      <c r="D874" s="90"/>
      <c r="E874" s="90"/>
      <c r="F874" s="100"/>
      <c r="G874" s="90"/>
      <c r="H874" s="90"/>
      <c r="I874" s="90"/>
      <c r="J874" s="1"/>
      <c r="K874" s="1"/>
      <c r="L874" s="1"/>
      <c r="M874" s="1"/>
    </row>
    <row r="875" spans="2:13" s="11" customFormat="1" ht="15.75">
      <c r="B875" s="90"/>
      <c r="C875" s="91"/>
      <c r="D875" s="90"/>
      <c r="E875" s="90"/>
      <c r="F875" s="100"/>
      <c r="G875" s="90"/>
      <c r="H875" s="90"/>
      <c r="I875" s="90"/>
      <c r="J875" s="1"/>
      <c r="K875" s="1"/>
      <c r="L875" s="1"/>
      <c r="M875" s="1"/>
    </row>
    <row r="876" spans="2:13" s="11" customFormat="1" ht="15.75">
      <c r="B876" s="90"/>
      <c r="C876" s="91"/>
      <c r="D876" s="90"/>
      <c r="E876" s="90"/>
      <c r="F876" s="100"/>
      <c r="G876" s="90"/>
      <c r="H876" s="90"/>
      <c r="I876" s="90"/>
      <c r="J876" s="1"/>
      <c r="K876" s="1"/>
      <c r="L876" s="1"/>
      <c r="M876" s="1"/>
    </row>
    <row r="877" spans="2:13" s="11" customFormat="1" ht="15.75">
      <c r="B877" s="90"/>
      <c r="C877" s="91"/>
      <c r="D877" s="90"/>
      <c r="E877" s="90"/>
      <c r="F877" s="100"/>
      <c r="G877" s="90"/>
      <c r="H877" s="90"/>
      <c r="I877" s="90"/>
      <c r="J877" s="1"/>
      <c r="K877" s="1"/>
      <c r="L877" s="1"/>
      <c r="M877" s="1"/>
    </row>
    <row r="878" spans="2:15" s="11" customFormat="1" ht="15.75">
      <c r="B878" s="90"/>
      <c r="C878" s="91"/>
      <c r="D878" s="1"/>
      <c r="E878" s="21" t="s">
        <v>602</v>
      </c>
      <c r="F878" s="12" t="s">
        <v>596</v>
      </c>
      <c r="G878" s="10" t="s">
        <v>603</v>
      </c>
      <c r="H878" s="7">
        <v>20</v>
      </c>
      <c r="I878" s="90"/>
      <c r="J878" s="1"/>
      <c r="K878" s="1"/>
      <c r="L878" s="1"/>
      <c r="M878" s="1"/>
      <c r="O878" s="1"/>
    </row>
    <row r="879" spans="2:15" s="11" customFormat="1" ht="15.75">
      <c r="B879" s="90"/>
      <c r="C879" s="91"/>
      <c r="D879" s="11">
        <v>0</v>
      </c>
      <c r="E879" s="18">
        <f aca="true" t="shared" si="26" ref="E879:E894">IF(($G$82*D879+$H$82*(D879^2))&gt;0,($G$82*D879+$H$82*(D879^2)),0)</f>
        <v>0</v>
      </c>
      <c r="F879" s="18">
        <f aca="true" t="shared" si="27" ref="F879:F894">IF(($D$830*D879+$F$830*(D879^2))&gt;0,($D$830*D879+$F$830*(D879^2)),0)</f>
        <v>0</v>
      </c>
      <c r="G879" s="18">
        <f aca="true" t="shared" si="28" ref="G879:G894">$D$673+$E$673*D879+$G$673*D879^2</f>
        <v>439.4125661827812</v>
      </c>
      <c r="I879" s="90"/>
      <c r="J879" s="1"/>
      <c r="K879" s="1"/>
      <c r="L879" s="1"/>
      <c r="M879" s="1"/>
      <c r="O879" s="1"/>
    </row>
    <row r="880" spans="2:15" s="11" customFormat="1" ht="15.75">
      <c r="B880" s="90"/>
      <c r="C880" s="91"/>
      <c r="D880" s="11">
        <f aca="true" t="shared" si="29" ref="D880:D894">D879+$H$878</f>
        <v>20</v>
      </c>
      <c r="E880" s="18">
        <f t="shared" si="26"/>
        <v>23000</v>
      </c>
      <c r="F880" s="18">
        <f t="shared" si="27"/>
        <v>24647.96629999937</v>
      </c>
      <c r="G880" s="18">
        <f t="shared" si="28"/>
        <v>4070.472566182781</v>
      </c>
      <c r="I880" s="90"/>
      <c r="J880" s="1"/>
      <c r="K880" s="1"/>
      <c r="L880" s="1"/>
      <c r="M880" s="1"/>
      <c r="O880" s="1"/>
    </row>
    <row r="881" spans="2:15" s="11" customFormat="1" ht="15.75">
      <c r="B881" s="1"/>
      <c r="C881" s="91"/>
      <c r="D881" s="11">
        <f t="shared" si="29"/>
        <v>40</v>
      </c>
      <c r="E881" s="18">
        <f t="shared" si="26"/>
        <v>42800</v>
      </c>
      <c r="F881" s="18">
        <f t="shared" si="27"/>
        <v>46095.93259999874</v>
      </c>
      <c r="G881" s="18">
        <f t="shared" si="28"/>
        <v>14101.532566182781</v>
      </c>
      <c r="I881" s="1"/>
      <c r="J881" s="1"/>
      <c r="K881" s="1"/>
      <c r="L881" s="1"/>
      <c r="M881" s="1"/>
      <c r="O881" s="1"/>
    </row>
    <row r="882" spans="2:15" s="11" customFormat="1" ht="15.75">
      <c r="B882" s="1"/>
      <c r="C882" s="91"/>
      <c r="D882" s="11">
        <f t="shared" si="29"/>
        <v>60</v>
      </c>
      <c r="E882" s="18">
        <f t="shared" si="26"/>
        <v>59400</v>
      </c>
      <c r="F882" s="18">
        <f t="shared" si="27"/>
        <v>64343.89889999811</v>
      </c>
      <c r="G882" s="18">
        <f t="shared" si="28"/>
        <v>30532.592566182782</v>
      </c>
      <c r="I882" s="1"/>
      <c r="J882" s="1"/>
      <c r="K882" s="1"/>
      <c r="L882" s="1"/>
      <c r="M882" s="1"/>
      <c r="O882" s="1"/>
    </row>
    <row r="883" spans="2:15" s="11" customFormat="1" ht="15.75">
      <c r="B883" s="1"/>
      <c r="C883" s="91"/>
      <c r="D883" s="11">
        <f t="shared" si="29"/>
        <v>80</v>
      </c>
      <c r="E883" s="18">
        <f t="shared" si="26"/>
        <v>72800</v>
      </c>
      <c r="F883" s="18">
        <f t="shared" si="27"/>
        <v>79391.86519999748</v>
      </c>
      <c r="G883" s="18">
        <f t="shared" si="28"/>
        <v>53363.65256618278</v>
      </c>
      <c r="I883" s="1"/>
      <c r="J883" s="1"/>
      <c r="K883" s="1"/>
      <c r="L883" s="1"/>
      <c r="M883" s="1"/>
      <c r="N883" s="1"/>
      <c r="O883" s="1"/>
    </row>
    <row r="884" spans="2:15" s="11" customFormat="1" ht="15.75">
      <c r="B884" s="1"/>
      <c r="C884" s="91"/>
      <c r="D884" s="11">
        <f t="shared" si="29"/>
        <v>100</v>
      </c>
      <c r="E884" s="18">
        <f t="shared" si="26"/>
        <v>83000</v>
      </c>
      <c r="F884" s="18">
        <f t="shared" si="27"/>
        <v>91239.83149999686</v>
      </c>
      <c r="G884" s="18">
        <f t="shared" si="28"/>
        <v>82594.71256618277</v>
      </c>
      <c r="I884" s="1"/>
      <c r="J884" s="1"/>
      <c r="K884" s="1"/>
      <c r="L884" s="1"/>
      <c r="M884" s="1"/>
      <c r="N884" s="1"/>
      <c r="O884" s="1"/>
    </row>
    <row r="885" spans="2:15" s="11" customFormat="1" ht="12.75">
      <c r="B885" s="1"/>
      <c r="C885" s="30"/>
      <c r="D885" s="11">
        <f t="shared" si="29"/>
        <v>120</v>
      </c>
      <c r="E885" s="18">
        <f t="shared" si="26"/>
        <v>90000</v>
      </c>
      <c r="F885" s="18">
        <f t="shared" si="27"/>
        <v>99887.79779999622</v>
      </c>
      <c r="G885" s="18">
        <f t="shared" si="28"/>
        <v>118225.77256618279</v>
      </c>
      <c r="I885" s="1"/>
      <c r="J885" s="1"/>
      <c r="K885" s="1"/>
      <c r="L885" s="1"/>
      <c r="M885" s="1"/>
      <c r="N885" s="1"/>
      <c r="O885" s="1"/>
    </row>
    <row r="886" spans="2:15" s="11" customFormat="1" ht="12.75">
      <c r="B886" s="1"/>
      <c r="C886" s="30"/>
      <c r="D886" s="11">
        <f t="shared" si="29"/>
        <v>140</v>
      </c>
      <c r="E886" s="18">
        <f t="shared" si="26"/>
        <v>93800</v>
      </c>
      <c r="F886" s="18">
        <f t="shared" si="27"/>
        <v>105335.7640999956</v>
      </c>
      <c r="G886" s="18">
        <f t="shared" si="28"/>
        <v>160256.83256618277</v>
      </c>
      <c r="I886"/>
      <c r="J886"/>
      <c r="K886" s="2"/>
      <c r="L886" s="1"/>
      <c r="M886" s="1"/>
      <c r="N886" s="1"/>
      <c r="O886" s="1"/>
    </row>
    <row r="887" spans="3:15" s="11" customFormat="1" ht="12.75">
      <c r="C887" s="34"/>
      <c r="D887" s="11">
        <f t="shared" si="29"/>
        <v>160</v>
      </c>
      <c r="E887" s="18">
        <f t="shared" si="26"/>
        <v>94400</v>
      </c>
      <c r="F887" s="18">
        <f t="shared" si="27"/>
        <v>107583.73039999497</v>
      </c>
      <c r="G887" s="18">
        <f t="shared" si="28"/>
        <v>208687.89256618277</v>
      </c>
      <c r="I887"/>
      <c r="J887"/>
      <c r="L887" s="21"/>
      <c r="M887" s="1"/>
      <c r="N887" s="1"/>
      <c r="O887" s="1"/>
    </row>
    <row r="888" spans="3:15" s="11" customFormat="1" ht="12.75">
      <c r="C888" s="34"/>
      <c r="D888" s="11">
        <f t="shared" si="29"/>
        <v>180</v>
      </c>
      <c r="E888" s="18">
        <f t="shared" si="26"/>
        <v>91800</v>
      </c>
      <c r="F888" s="18">
        <f t="shared" si="27"/>
        <v>106631.69669999433</v>
      </c>
      <c r="G888" s="18">
        <f t="shared" si="28"/>
        <v>263518.95256618276</v>
      </c>
      <c r="I888"/>
      <c r="J888"/>
      <c r="M888" s="1"/>
      <c r="N888" s="1"/>
      <c r="O888" s="1"/>
    </row>
    <row r="889" spans="1:15" s="11" customFormat="1" ht="12.75">
      <c r="A889" s="1"/>
      <c r="C889" s="34"/>
      <c r="D889" s="11">
        <f t="shared" si="29"/>
        <v>200</v>
      </c>
      <c r="E889" s="18">
        <f t="shared" si="26"/>
        <v>86000</v>
      </c>
      <c r="F889" s="18">
        <f t="shared" si="27"/>
        <v>102479.66299999371</v>
      </c>
      <c r="G889" s="18">
        <f t="shared" si="28"/>
        <v>324750.01256618276</v>
      </c>
      <c r="I889"/>
      <c r="J889"/>
      <c r="M889" s="1"/>
      <c r="N889" s="1"/>
      <c r="O889" s="1"/>
    </row>
    <row r="890" spans="1:15" s="11" customFormat="1" ht="12.75">
      <c r="A890" s="1"/>
      <c r="C890" s="34"/>
      <c r="D890" s="11">
        <f t="shared" si="29"/>
        <v>220</v>
      </c>
      <c r="E890" s="18">
        <f t="shared" si="26"/>
        <v>77000</v>
      </c>
      <c r="F890" s="18">
        <f t="shared" si="27"/>
        <v>95127.6292999931</v>
      </c>
      <c r="G890" s="18">
        <f t="shared" si="28"/>
        <v>392381.07256618276</v>
      </c>
      <c r="H890" s="21"/>
      <c r="I890"/>
      <c r="J890"/>
      <c r="M890" s="1"/>
      <c r="N890" s="1"/>
      <c r="O890" s="1"/>
    </row>
    <row r="891" spans="1:15" s="11" customFormat="1" ht="12.75">
      <c r="A891" s="1"/>
      <c r="C891" s="34"/>
      <c r="D891" s="11">
        <f t="shared" si="29"/>
        <v>240</v>
      </c>
      <c r="E891" s="18">
        <f t="shared" si="26"/>
        <v>64800</v>
      </c>
      <c r="F891" s="18">
        <f t="shared" si="27"/>
        <v>84575.59559999243</v>
      </c>
      <c r="G891" s="18">
        <f t="shared" si="28"/>
        <v>466412.13256618276</v>
      </c>
      <c r="I891"/>
      <c r="J891"/>
      <c r="M891" s="1"/>
      <c r="N891" s="1"/>
      <c r="O891" s="1"/>
    </row>
    <row r="892" spans="1:15" s="11" customFormat="1" ht="12.75">
      <c r="A892" s="1"/>
      <c r="C892" s="34"/>
      <c r="D892" s="11">
        <f t="shared" si="29"/>
        <v>260</v>
      </c>
      <c r="E892" s="18">
        <f t="shared" si="26"/>
        <v>49400</v>
      </c>
      <c r="F892" s="18">
        <f t="shared" si="27"/>
        <v>70823.56189999182</v>
      </c>
      <c r="G892" s="18">
        <f t="shared" si="28"/>
        <v>546843.1925661828</v>
      </c>
      <c r="I892"/>
      <c r="J892"/>
      <c r="M892" s="1"/>
      <c r="N892" s="1"/>
      <c r="O892" s="1"/>
    </row>
    <row r="893" spans="1:15" s="11" customFormat="1" ht="12.75">
      <c r="A893" s="1"/>
      <c r="C893" s="34"/>
      <c r="D893" s="11">
        <f t="shared" si="29"/>
        <v>280</v>
      </c>
      <c r="E893" s="18">
        <f t="shared" si="26"/>
        <v>30800</v>
      </c>
      <c r="F893" s="18">
        <f t="shared" si="27"/>
        <v>53871.52819999121</v>
      </c>
      <c r="G893" s="18">
        <f t="shared" si="28"/>
        <v>633674.2525661828</v>
      </c>
      <c r="I893"/>
      <c r="J893"/>
      <c r="M893" s="1"/>
      <c r="N893" s="1"/>
      <c r="O893" s="1"/>
    </row>
    <row r="894" spans="1:15" s="11" customFormat="1" ht="12.75">
      <c r="A894" s="1"/>
      <c r="C894" s="34"/>
      <c r="D894" s="11">
        <f t="shared" si="29"/>
        <v>300</v>
      </c>
      <c r="E894" s="18">
        <f t="shared" si="26"/>
        <v>9000</v>
      </c>
      <c r="F894" s="18">
        <f t="shared" si="27"/>
        <v>33719.49449999054</v>
      </c>
      <c r="G894" s="18">
        <f t="shared" si="28"/>
        <v>726905.3125661828</v>
      </c>
      <c r="I894"/>
      <c r="J894"/>
      <c r="M894" s="1"/>
      <c r="N894" s="1"/>
      <c r="O894" s="1"/>
    </row>
    <row r="895" spans="1:15" s="11" customFormat="1" ht="12.75">
      <c r="A895" s="1"/>
      <c r="C895" s="34"/>
      <c r="E895" s="18"/>
      <c r="F895" s="18"/>
      <c r="G895" s="18"/>
      <c r="I895"/>
      <c r="J895"/>
      <c r="M895" s="1"/>
      <c r="N895" s="1"/>
      <c r="O895" s="1"/>
    </row>
    <row r="896" spans="1:15" s="11" customFormat="1" ht="12.75">
      <c r="A896" s="1"/>
      <c r="C896" s="34"/>
      <c r="E896" s="18"/>
      <c r="F896" s="18"/>
      <c r="G896" s="18"/>
      <c r="I896"/>
      <c r="J896"/>
      <c r="M896" s="1"/>
      <c r="N896" s="1"/>
      <c r="O896" s="1"/>
    </row>
    <row r="897" spans="1:40" s="11" customFormat="1" ht="12.75">
      <c r="A897" s="1"/>
      <c r="C897" s="34"/>
      <c r="E897" s="18"/>
      <c r="F897" s="18"/>
      <c r="G897" s="18"/>
      <c r="I897"/>
      <c r="J897"/>
      <c r="M897" s="1"/>
      <c r="N897" s="1"/>
      <c r="O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1:40" s="11" customFormat="1" ht="12.75">
      <c r="A898" s="1"/>
      <c r="C898" s="34"/>
      <c r="E898" s="18"/>
      <c r="F898" s="18"/>
      <c r="G898" s="18"/>
      <c r="I898"/>
      <c r="J898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2:12" ht="13.5">
      <c r="B899" s="91" t="s">
        <v>604</v>
      </c>
      <c r="C899"/>
      <c r="D899" s="34"/>
      <c r="E899" s="34"/>
      <c r="F899"/>
      <c r="G899"/>
      <c r="H899"/>
      <c r="I899"/>
      <c r="J899"/>
      <c r="K899" s="11"/>
      <c r="L899" s="11"/>
    </row>
    <row r="900" spans="2:13" ht="13.5">
      <c r="B900" s="91" t="s">
        <v>605</v>
      </c>
      <c r="C900"/>
      <c r="D900" s="34"/>
      <c r="E900" s="34"/>
      <c r="F900"/>
      <c r="G900"/>
      <c r="H900"/>
      <c r="I900"/>
      <c r="J900"/>
      <c r="K900" s="11"/>
      <c r="L900" s="11"/>
      <c r="M900" s="21"/>
    </row>
    <row r="901" spans="2:13" ht="13.5">
      <c r="B901" s="91" t="s">
        <v>606</v>
      </c>
      <c r="C901"/>
      <c r="D901" s="34"/>
      <c r="E901" s="34"/>
      <c r="F901"/>
      <c r="G901"/>
      <c r="H901"/>
      <c r="I901"/>
      <c r="J901"/>
      <c r="K901" s="11"/>
      <c r="L901" s="11"/>
      <c r="M901" s="11"/>
    </row>
    <row r="902" spans="2:13" ht="13.5">
      <c r="B902" s="91" t="s">
        <v>607</v>
      </c>
      <c r="C902"/>
      <c r="D902" s="34"/>
      <c r="E902" s="34"/>
      <c r="F902"/>
      <c r="G902"/>
      <c r="H902"/>
      <c r="I902"/>
      <c r="J902"/>
      <c r="K902" s="11"/>
      <c r="L902" s="11"/>
      <c r="M902" s="11"/>
    </row>
    <row r="903" spans="2:13" ht="13.5">
      <c r="B903" s="91" t="s">
        <v>608</v>
      </c>
      <c r="C903"/>
      <c r="D903" s="34"/>
      <c r="E903" s="34"/>
      <c r="F903"/>
      <c r="G903"/>
      <c r="H903"/>
      <c r="I903"/>
      <c r="J903"/>
      <c r="K903" s="11"/>
      <c r="L903" s="11"/>
      <c r="M903" s="11"/>
    </row>
    <row r="904" spans="2:13" ht="13.5">
      <c r="B904" s="91" t="s">
        <v>609</v>
      </c>
      <c r="C904"/>
      <c r="D904" s="34"/>
      <c r="E904" s="34"/>
      <c r="F904"/>
      <c r="G904"/>
      <c r="H904"/>
      <c r="I904"/>
      <c r="J904"/>
      <c r="K904" s="11"/>
      <c r="L904" s="11"/>
      <c r="M904" s="11"/>
    </row>
    <row r="905" spans="2:13" ht="13.5">
      <c r="B905" s="11"/>
      <c r="C905" s="91"/>
      <c r="D905" s="34"/>
      <c r="E905" s="34"/>
      <c r="F905"/>
      <c r="G905"/>
      <c r="H905"/>
      <c r="I905"/>
      <c r="J905"/>
      <c r="K905" s="11"/>
      <c r="L905" s="11"/>
      <c r="M905" s="11"/>
    </row>
    <row r="906" spans="2:13" ht="13.5">
      <c r="B906" s="92" t="s">
        <v>610</v>
      </c>
      <c r="C906" s="91"/>
      <c r="D906" s="90"/>
      <c r="G906" s="11"/>
      <c r="M906" s="11"/>
    </row>
    <row r="907" spans="2:13" ht="13.5">
      <c r="B907" s="91" t="s">
        <v>611</v>
      </c>
      <c r="C907"/>
      <c r="D907" s="90"/>
      <c r="G907" s="11"/>
      <c r="M907" s="11"/>
    </row>
    <row r="908" spans="2:13" ht="13.5">
      <c r="B908" s="91" t="s">
        <v>612</v>
      </c>
      <c r="C908"/>
      <c r="D908" s="90"/>
      <c r="G908" s="11"/>
      <c r="M908" s="11"/>
    </row>
    <row r="909" spans="2:7" ht="13.5">
      <c r="B909" s="91" t="s">
        <v>613</v>
      </c>
      <c r="C909"/>
      <c r="D909" s="90"/>
      <c r="G909" s="11"/>
    </row>
    <row r="910" spans="2:7" ht="13.5">
      <c r="B910" s="91" t="s">
        <v>614</v>
      </c>
      <c r="C910"/>
      <c r="D910" s="90"/>
      <c r="G910" s="11"/>
    </row>
    <row r="911" spans="2:7" ht="13.5">
      <c r="B911" s="91" t="s">
        <v>615</v>
      </c>
      <c r="C911"/>
      <c r="D911" s="90"/>
      <c r="G911" s="11"/>
    </row>
    <row r="912" spans="2:7" ht="13.5">
      <c r="B912" s="90"/>
      <c r="C912" s="91"/>
      <c r="D912" s="90"/>
      <c r="G912" s="11"/>
    </row>
    <row r="913" spans="2:7" ht="13.5">
      <c r="B913" s="91" t="s">
        <v>616</v>
      </c>
      <c r="C913"/>
      <c r="D913" s="90"/>
      <c r="G913" s="11"/>
    </row>
    <row r="914" spans="2:7" ht="13.5">
      <c r="B914" s="91" t="s">
        <v>617</v>
      </c>
      <c r="C914"/>
      <c r="D914" s="90"/>
      <c r="G914" s="11"/>
    </row>
    <row r="915" spans="2:7" ht="13.5">
      <c r="B915" s="91" t="s">
        <v>618</v>
      </c>
      <c r="C915"/>
      <c r="D915" s="90"/>
      <c r="G915" s="11"/>
    </row>
    <row r="916" spans="2:7" ht="13.5">
      <c r="B916" s="91" t="s">
        <v>619</v>
      </c>
      <c r="C916"/>
      <c r="D916" s="90"/>
      <c r="G916" s="11"/>
    </row>
    <row r="917" spans="2:7" ht="13.5">
      <c r="B917" s="91" t="s">
        <v>620</v>
      </c>
      <c r="C917"/>
      <c r="D917" s="90"/>
      <c r="G917" s="11"/>
    </row>
    <row r="918" spans="2:7" ht="13.5">
      <c r="B918" s="91" t="s">
        <v>621</v>
      </c>
      <c r="C918"/>
      <c r="D918" s="90"/>
      <c r="G918" s="11"/>
    </row>
    <row r="919" spans="2:7" ht="13.5">
      <c r="B919" s="90"/>
      <c r="C919" s="91"/>
      <c r="D919" s="90"/>
      <c r="G919" s="11"/>
    </row>
    <row r="920" spans="2:7" ht="13.5">
      <c r="B920" s="90"/>
      <c r="C920" s="91"/>
      <c r="D920" s="90"/>
      <c r="G920" s="11"/>
    </row>
    <row r="921" spans="2:7" ht="13.5">
      <c r="B921" s="90"/>
      <c r="C921" s="91"/>
      <c r="D921" s="90"/>
      <c r="G921" s="11"/>
    </row>
    <row r="922" spans="2:7" ht="13.5">
      <c r="B922" s="90"/>
      <c r="C922" s="91"/>
      <c r="D922" s="90"/>
      <c r="G922" s="11"/>
    </row>
    <row r="923" spans="2:7" ht="13.5">
      <c r="B923" s="90"/>
      <c r="C923" s="91"/>
      <c r="D923" s="90"/>
      <c r="G923" s="11"/>
    </row>
    <row r="924" spans="2:7" ht="13.5">
      <c r="B924" s="90"/>
      <c r="C924" s="91"/>
      <c r="D924" s="90"/>
      <c r="G924" s="11"/>
    </row>
    <row r="925" spans="2:7" ht="13.5">
      <c r="B925" s="90"/>
      <c r="C925" s="91"/>
      <c r="D925" s="90"/>
      <c r="G925" s="11"/>
    </row>
    <row r="926" spans="2:7" ht="13.5">
      <c r="B926" s="90"/>
      <c r="C926" s="91"/>
      <c r="D926" s="90"/>
      <c r="G926" s="11"/>
    </row>
    <row r="927" spans="2:8" ht="13.5">
      <c r="B927" s="90"/>
      <c r="C927" s="90"/>
      <c r="D927" s="90"/>
      <c r="E927" s="90"/>
      <c r="F927" s="3" t="s">
        <v>622</v>
      </c>
      <c r="G927" s="90"/>
      <c r="H927" s="90"/>
    </row>
    <row r="928" spans="3:9" ht="13.5">
      <c r="C928" s="90"/>
      <c r="D928" s="90"/>
      <c r="E928" s="90"/>
      <c r="F928" s="3" t="s">
        <v>623</v>
      </c>
      <c r="G928" s="90"/>
      <c r="H928" s="90"/>
      <c r="I928"/>
    </row>
    <row r="929" spans="3:9" ht="15" thickBot="1">
      <c r="C929" s="90"/>
      <c r="D929" s="90"/>
      <c r="E929" s="90"/>
      <c r="F929" s="90"/>
      <c r="G929" s="90"/>
      <c r="H929" s="90"/>
      <c r="I929"/>
    </row>
    <row r="930" spans="3:18" ht="13.5">
      <c r="C930" s="254"/>
      <c r="D930" s="329" t="s">
        <v>624</v>
      </c>
      <c r="E930" s="329" t="s">
        <v>625</v>
      </c>
      <c r="F930" s="329" t="s">
        <v>626</v>
      </c>
      <c r="G930" s="329" t="s">
        <v>626</v>
      </c>
      <c r="H930" s="330" t="s">
        <v>627</v>
      </c>
      <c r="I930"/>
      <c r="Q930" s="5" t="s">
        <v>628</v>
      </c>
      <c r="R930" s="1" t="s">
        <v>629</v>
      </c>
    </row>
    <row r="931" spans="3:19" ht="15" thickBot="1">
      <c r="C931" s="256"/>
      <c r="D931" s="331" t="s">
        <v>630</v>
      </c>
      <c r="E931" s="331" t="s">
        <v>475</v>
      </c>
      <c r="F931" s="331" t="s">
        <v>54</v>
      </c>
      <c r="G931" s="331" t="s">
        <v>476</v>
      </c>
      <c r="H931" s="332" t="s">
        <v>477</v>
      </c>
      <c r="I931"/>
      <c r="J931"/>
      <c r="Q931" s="6" t="s">
        <v>81</v>
      </c>
      <c r="R931" s="84">
        <v>9</v>
      </c>
      <c r="S931" s="1" t="s">
        <v>478</v>
      </c>
    </row>
    <row r="932" spans="3:10" ht="15" thickBot="1">
      <c r="C932" s="255"/>
      <c r="D932" s="333">
        <v>0.55679</v>
      </c>
      <c r="E932" s="334">
        <v>768.37</v>
      </c>
      <c r="F932" s="334">
        <v>44.27</v>
      </c>
      <c r="G932" s="335">
        <v>591.28</v>
      </c>
      <c r="H932" s="336">
        <v>3474.97</v>
      </c>
      <c r="I932"/>
      <c r="J932"/>
    </row>
    <row r="933" spans="3:20" ht="15" thickBot="1">
      <c r="C933" s="255"/>
      <c r="D933" s="333">
        <v>0.523436</v>
      </c>
      <c r="E933" s="334">
        <v>722.34</v>
      </c>
      <c r="F933" s="334">
        <v>41.4</v>
      </c>
      <c r="G933" s="335">
        <v>556.76</v>
      </c>
      <c r="H933" s="336">
        <v>1503.57</v>
      </c>
      <c r="I933"/>
      <c r="J933"/>
      <c r="P933" s="86" t="s">
        <v>479</v>
      </c>
      <c r="Q933" s="9" t="s">
        <v>480</v>
      </c>
      <c r="R933" s="9" t="s">
        <v>481</v>
      </c>
      <c r="S933" s="8" t="s">
        <v>482</v>
      </c>
      <c r="T933" s="9" t="s">
        <v>624</v>
      </c>
    </row>
    <row r="934" spans="3:20" ht="13.5">
      <c r="C934" s="255"/>
      <c r="D934" s="333">
        <v>0.495937</v>
      </c>
      <c r="E934" s="334">
        <v>684.39</v>
      </c>
      <c r="F934" s="334">
        <v>39.02</v>
      </c>
      <c r="G934" s="335">
        <v>528.29</v>
      </c>
      <c r="H934" s="336">
        <v>-22.57</v>
      </c>
      <c r="I934"/>
      <c r="J934"/>
      <c r="P934" s="85">
        <v>0</v>
      </c>
      <c r="Q934" s="1">
        <v>1</v>
      </c>
      <c r="R934" s="87">
        <f aca="true" t="shared" si="30" ref="R934:R964">($R$931^P934)*(2.71828^-$R$931)/Q934</f>
        <v>0.0001234105511964023</v>
      </c>
      <c r="S934" s="87">
        <f>R934</f>
        <v>0.0001234105511964023</v>
      </c>
      <c r="T934" s="87">
        <f aca="true" ca="1" t="shared" si="31" ref="T934:T964">RAND()</f>
        <v>0.15379399983248732</v>
      </c>
    </row>
    <row r="935" spans="3:20" ht="13.5">
      <c r="C935" s="255"/>
      <c r="D935" s="333">
        <v>0.513495</v>
      </c>
      <c r="E935" s="334">
        <v>708.62</v>
      </c>
      <c r="F935" s="334">
        <v>40.54</v>
      </c>
      <c r="G935" s="335">
        <v>546.47</v>
      </c>
      <c r="H935" s="336">
        <v>941.34</v>
      </c>
      <c r="I935"/>
      <c r="J935"/>
      <c r="P935" s="54">
        <v>1</v>
      </c>
      <c r="Q935" s="1">
        <f aca="true" t="shared" si="32" ref="Q935:Q964">P935*Q934</f>
        <v>1</v>
      </c>
      <c r="R935" s="87">
        <f t="shared" si="30"/>
        <v>0.0011106949607676208</v>
      </c>
      <c r="S935" s="87">
        <f aca="true" t="shared" si="33" ref="S935:S964">S934+R935</f>
        <v>0.0012341055119640231</v>
      </c>
      <c r="T935" s="87">
        <f ca="1" t="shared" si="31"/>
        <v>0.20516223819322477</v>
      </c>
    </row>
    <row r="936" spans="3:20" ht="13.5">
      <c r="C936" s="255"/>
      <c r="D936" s="333">
        <v>0.410299</v>
      </c>
      <c r="E936" s="334">
        <v>586.21</v>
      </c>
      <c r="F936" s="334">
        <v>31.64</v>
      </c>
      <c r="G936" s="335">
        <v>439.66</v>
      </c>
      <c r="H936" s="336">
        <v>-4198.03</v>
      </c>
      <c r="I936"/>
      <c r="J936"/>
      <c r="P936" s="54">
        <v>2</v>
      </c>
      <c r="Q936" s="1">
        <f t="shared" si="32"/>
        <v>2</v>
      </c>
      <c r="R936" s="87">
        <f t="shared" si="30"/>
        <v>0.0049981273234542935</v>
      </c>
      <c r="S936" s="87">
        <f t="shared" si="33"/>
        <v>0.006232232835418317</v>
      </c>
      <c r="T936" s="87">
        <f ca="1" t="shared" si="31"/>
        <v>0.4095299699865791</v>
      </c>
    </row>
    <row r="937" spans="3:20" ht="13.5">
      <c r="C937" s="255"/>
      <c r="D937" s="333">
        <v>0.490337</v>
      </c>
      <c r="E937" s="334">
        <v>676.67</v>
      </c>
      <c r="F937" s="334">
        <v>38.54</v>
      </c>
      <c r="G937" s="335">
        <v>522.5</v>
      </c>
      <c r="H937" s="336">
        <v>-322.37</v>
      </c>
      <c r="I937"/>
      <c r="J937"/>
      <c r="P937" s="54">
        <v>3</v>
      </c>
      <c r="Q937" s="1">
        <f t="shared" si="32"/>
        <v>6</v>
      </c>
      <c r="R937" s="87">
        <f t="shared" si="30"/>
        <v>0.014994381970362881</v>
      </c>
      <c r="S937" s="87">
        <f t="shared" si="33"/>
        <v>0.021226614805781197</v>
      </c>
      <c r="T937" s="87">
        <f ca="1" t="shared" si="31"/>
        <v>0.44264313236635644</v>
      </c>
    </row>
    <row r="938" spans="3:20" ht="13.5">
      <c r="C938" s="255"/>
      <c r="D938" s="333">
        <v>0.474196</v>
      </c>
      <c r="E938" s="334">
        <v>654.39</v>
      </c>
      <c r="F938" s="334">
        <v>37.15</v>
      </c>
      <c r="G938" s="335">
        <v>505.79</v>
      </c>
      <c r="H938" s="336">
        <v>-1165.27</v>
      </c>
      <c r="I938"/>
      <c r="J938"/>
      <c r="P938" s="54">
        <v>4</v>
      </c>
      <c r="Q938" s="1">
        <f t="shared" si="32"/>
        <v>24</v>
      </c>
      <c r="R938" s="87">
        <f t="shared" si="30"/>
        <v>0.03373735943331648</v>
      </c>
      <c r="S938" s="87">
        <f t="shared" si="33"/>
        <v>0.05496397423909768</v>
      </c>
      <c r="T938" s="87">
        <f ca="1" t="shared" si="31"/>
        <v>0.8406711451107185</v>
      </c>
    </row>
    <row r="939" spans="3:20" ht="13.5">
      <c r="C939" s="255"/>
      <c r="D939" s="333">
        <v>0.467301</v>
      </c>
      <c r="E939" s="334">
        <v>644.88</v>
      </c>
      <c r="F939" s="334">
        <v>36.55</v>
      </c>
      <c r="G939" s="335">
        <v>498.66</v>
      </c>
      <c r="H939" s="336">
        <v>-1515.92</v>
      </c>
      <c r="I939"/>
      <c r="J939"/>
      <c r="P939" s="54">
        <v>5</v>
      </c>
      <c r="Q939" s="1">
        <f t="shared" si="32"/>
        <v>120</v>
      </c>
      <c r="R939" s="87">
        <f t="shared" si="30"/>
        <v>0.060727246979969667</v>
      </c>
      <c r="S939" s="87">
        <f t="shared" si="33"/>
        <v>0.11569122121906734</v>
      </c>
      <c r="T939" s="87">
        <f ca="1" t="shared" si="31"/>
        <v>0.4191660059204878</v>
      </c>
    </row>
    <row r="940" spans="3:20" ht="13.5">
      <c r="C940" s="255"/>
      <c r="D940" s="333">
        <v>0.554273</v>
      </c>
      <c r="E940" s="334">
        <v>764.9</v>
      </c>
      <c r="F940" s="334">
        <v>44.06</v>
      </c>
      <c r="G940" s="335">
        <v>588.67</v>
      </c>
      <c r="H940" s="336">
        <v>3321.6</v>
      </c>
      <c r="I940"/>
      <c r="J940"/>
      <c r="P940" s="54">
        <v>6</v>
      </c>
      <c r="Q940" s="1">
        <f t="shared" si="32"/>
        <v>720</v>
      </c>
      <c r="R940" s="87">
        <f t="shared" si="30"/>
        <v>0.09109087046995448</v>
      </c>
      <c r="S940" s="87">
        <f t="shared" si="33"/>
        <v>0.20678209168902184</v>
      </c>
      <c r="T940" s="87">
        <f ca="1" t="shared" si="31"/>
        <v>0.8423997392328602</v>
      </c>
    </row>
    <row r="941" spans="3:20" ht="15" thickBot="1">
      <c r="C941" s="256"/>
      <c r="D941" s="337">
        <v>0.474826</v>
      </c>
      <c r="E941" s="338">
        <v>655.26</v>
      </c>
      <c r="F941" s="338">
        <v>37.2</v>
      </c>
      <c r="G941" s="339">
        <v>506.44</v>
      </c>
      <c r="H941" s="340">
        <v>-1132.97</v>
      </c>
      <c r="I941"/>
      <c r="J941"/>
      <c r="P941" s="54">
        <v>7</v>
      </c>
      <c r="Q941" s="1">
        <f t="shared" si="32"/>
        <v>5040</v>
      </c>
      <c r="R941" s="87">
        <f t="shared" si="30"/>
        <v>0.11711683346137008</v>
      </c>
      <c r="S941" s="87">
        <f t="shared" si="33"/>
        <v>0.3238989251503919</v>
      </c>
      <c r="T941" s="87">
        <f ca="1" t="shared" si="31"/>
        <v>0.8562907110008382</v>
      </c>
    </row>
    <row r="942" spans="3:20" ht="13.5">
      <c r="C942" s="341" t="s">
        <v>483</v>
      </c>
      <c r="D942" s="342">
        <f>AVERAGE(D932:D941)</f>
        <v>0.4960890000000001</v>
      </c>
      <c r="E942" s="343">
        <f>AVERAGE(E932:E941)</f>
        <v>686.603</v>
      </c>
      <c r="F942" s="343">
        <f>AVERAGE(F932:F941)</f>
        <v>39.037</v>
      </c>
      <c r="G942" s="344">
        <f>AVERAGE(G932:G941)</f>
        <v>528.452</v>
      </c>
      <c r="H942" s="345">
        <f>AVERAGE(H932:H941)</f>
        <v>88.43500000000006</v>
      </c>
      <c r="I942"/>
      <c r="J942"/>
      <c r="P942" s="54">
        <v>8</v>
      </c>
      <c r="Q942" s="1">
        <f t="shared" si="32"/>
        <v>40320</v>
      </c>
      <c r="R942" s="87">
        <f t="shared" si="30"/>
        <v>0.13175643764404132</v>
      </c>
      <c r="S942" s="87">
        <f t="shared" si="33"/>
        <v>0.45565536279443325</v>
      </c>
      <c r="T942" s="87">
        <f ca="1" t="shared" si="31"/>
        <v>0.06747224963964982</v>
      </c>
    </row>
    <row r="943" spans="3:20" ht="13.5">
      <c r="C943" s="144" t="s">
        <v>484</v>
      </c>
      <c r="D943" s="346">
        <f>STDEV(D932:D942)</f>
        <v>0.041562022053792516</v>
      </c>
      <c r="E943" s="347">
        <f>STDEV(E932:E942)</f>
        <v>53.40536490840568</v>
      </c>
      <c r="F943" s="347">
        <f>STDEV(F932:F942)</f>
        <v>3.585261636199016</v>
      </c>
      <c r="G943" s="347">
        <f>STDEV(G932:G942)</f>
        <v>43.017073075698974</v>
      </c>
      <c r="H943" s="348">
        <f>STDEV(H932:H942)</f>
        <v>2210.0781807902185</v>
      </c>
      <c r="I943"/>
      <c r="J943"/>
      <c r="P943" s="54">
        <v>9</v>
      </c>
      <c r="Q943" s="1">
        <f t="shared" si="32"/>
        <v>362880</v>
      </c>
      <c r="R943" s="87">
        <f t="shared" si="30"/>
        <v>0.13175643764404132</v>
      </c>
      <c r="S943" s="87">
        <f t="shared" si="33"/>
        <v>0.5874118004384745</v>
      </c>
      <c r="T943" s="87">
        <f ca="1" t="shared" si="31"/>
        <v>0.17909134968431317</v>
      </c>
    </row>
    <row r="944" spans="3:20" ht="15" thickBot="1">
      <c r="C944" s="102" t="s">
        <v>485</v>
      </c>
      <c r="D944" s="349">
        <f>D943/D942</f>
        <v>0.08377936631086863</v>
      </c>
      <c r="E944" s="349">
        <f>E943/E942</f>
        <v>0.0777820150922814</v>
      </c>
      <c r="F944" s="349">
        <f>F943/F942</f>
        <v>0.09184265277042335</v>
      </c>
      <c r="G944" s="349">
        <f>G943/G942</f>
        <v>0.08140204422672064</v>
      </c>
      <c r="H944" s="350">
        <f>H943/H942</f>
        <v>24.990989775430734</v>
      </c>
      <c r="I944"/>
      <c r="J944"/>
      <c r="P944" s="54">
        <v>10</v>
      </c>
      <c r="Q944" s="1">
        <f t="shared" si="32"/>
        <v>3628800</v>
      </c>
      <c r="R944" s="87">
        <f t="shared" si="30"/>
        <v>0.1185807938796372</v>
      </c>
      <c r="S944" s="87">
        <f t="shared" si="33"/>
        <v>0.7059925943181117</v>
      </c>
      <c r="T944" s="87">
        <f ca="1" t="shared" si="31"/>
        <v>0.4917999963699913</v>
      </c>
    </row>
    <row r="945" spans="3:20" ht="13.5">
      <c r="C945" s="100"/>
      <c r="D945" s="351"/>
      <c r="E945" s="352"/>
      <c r="F945" s="352"/>
      <c r="G945" s="352"/>
      <c r="H945" s="353"/>
      <c r="I945"/>
      <c r="J945"/>
      <c r="P945" s="54">
        <v>11</v>
      </c>
      <c r="Q945" s="1">
        <f t="shared" si="32"/>
        <v>39916800</v>
      </c>
      <c r="R945" s="87">
        <f t="shared" si="30"/>
        <v>0.09702064953788497</v>
      </c>
      <c r="S945" s="87">
        <f t="shared" si="33"/>
        <v>0.8030132438559967</v>
      </c>
      <c r="T945" s="87">
        <f ca="1" t="shared" si="31"/>
        <v>0.30142352845905407</v>
      </c>
    </row>
    <row r="946" spans="3:20" ht="13.5">
      <c r="C946" s="90"/>
      <c r="D946" s="90"/>
      <c r="E946" s="90"/>
      <c r="F946" s="3" t="s">
        <v>486</v>
      </c>
      <c r="G946" s="90"/>
      <c r="H946" s="90"/>
      <c r="I946"/>
      <c r="J946"/>
      <c r="P946" s="54">
        <v>12</v>
      </c>
      <c r="Q946" s="1">
        <f t="shared" si="32"/>
        <v>479001600</v>
      </c>
      <c r="R946" s="87">
        <f t="shared" si="30"/>
        <v>0.07276548715341374</v>
      </c>
      <c r="S946" s="87">
        <f t="shared" si="33"/>
        <v>0.8757787310094105</v>
      </c>
      <c r="T946" s="87">
        <f ca="1" t="shared" si="31"/>
        <v>0.04501477410940424</v>
      </c>
    </row>
    <row r="947" spans="3:20" ht="15" thickBot="1">
      <c r="C947" s="90"/>
      <c r="D947" s="90"/>
      <c r="E947" s="90"/>
      <c r="F947" s="3" t="s">
        <v>487</v>
      </c>
      <c r="G947" s="90"/>
      <c r="H947" s="90"/>
      <c r="I947"/>
      <c r="J947"/>
      <c r="P947" s="54">
        <v>13</v>
      </c>
      <c r="Q947" s="1">
        <f t="shared" si="32"/>
        <v>6227020800</v>
      </c>
      <c r="R947" s="87">
        <f t="shared" si="30"/>
        <v>0.0503761064908249</v>
      </c>
      <c r="S947" s="87">
        <f t="shared" si="33"/>
        <v>0.9261548375002354</v>
      </c>
      <c r="T947" s="87">
        <f ca="1" t="shared" si="31"/>
        <v>0.2767369603679981</v>
      </c>
    </row>
    <row r="948" spans="3:20" ht="13.5">
      <c r="C948" s="90"/>
      <c r="D948" s="354" t="s">
        <v>488</v>
      </c>
      <c r="E948" s="277">
        <v>1280.6802755835527</v>
      </c>
      <c r="F948" s="277">
        <v>51.27160276603081</v>
      </c>
      <c r="G948" s="355" t="s">
        <v>489</v>
      </c>
      <c r="H948" s="90"/>
      <c r="I948"/>
      <c r="J948"/>
      <c r="P948" s="54">
        <v>14</v>
      </c>
      <c r="Q948" s="1">
        <f t="shared" si="32"/>
        <v>87178291200</v>
      </c>
      <c r="R948" s="87">
        <f t="shared" si="30"/>
        <v>0.03238463988695886</v>
      </c>
      <c r="S948" s="87">
        <f t="shared" si="33"/>
        <v>0.9585394773871942</v>
      </c>
      <c r="T948" s="87">
        <f ca="1" t="shared" si="31"/>
        <v>0.4932354556522114</v>
      </c>
    </row>
    <row r="949" spans="3:20" ht="13.5">
      <c r="C949" s="90"/>
      <c r="D949" s="356" t="s">
        <v>490</v>
      </c>
      <c r="E949" s="287">
        <v>37.02982403279103</v>
      </c>
      <c r="F949" s="287">
        <v>18.434445303874313</v>
      </c>
      <c r="G949" s="358" t="s">
        <v>490</v>
      </c>
      <c r="H949" s="90"/>
      <c r="I949"/>
      <c r="J949"/>
      <c r="P949" s="54">
        <v>15</v>
      </c>
      <c r="Q949" s="1">
        <f t="shared" si="32"/>
        <v>1307674368000</v>
      </c>
      <c r="R949" s="87">
        <f t="shared" si="30"/>
        <v>0.019430783932175316</v>
      </c>
      <c r="S949" s="87">
        <f t="shared" si="33"/>
        <v>0.9779702613193696</v>
      </c>
      <c r="T949" s="87">
        <f ca="1" t="shared" si="31"/>
        <v>0.47156928097501805</v>
      </c>
    </row>
    <row r="950" spans="3:20" ht="13.5">
      <c r="C950" s="90"/>
      <c r="D950" s="356" t="s">
        <v>491</v>
      </c>
      <c r="E950" s="357">
        <v>0.9933561954650254</v>
      </c>
      <c r="F950" s="287">
        <v>4.866853984659175</v>
      </c>
      <c r="G950" s="359"/>
      <c r="H950" s="90"/>
      <c r="I950"/>
      <c r="J950"/>
      <c r="P950" s="54">
        <v>16</v>
      </c>
      <c r="Q950" s="1">
        <f t="shared" si="32"/>
        <v>20922789888000</v>
      </c>
      <c r="R950" s="87">
        <f t="shared" si="30"/>
        <v>0.010929815961848615</v>
      </c>
      <c r="S950" s="87">
        <f t="shared" si="33"/>
        <v>0.9889000772812182</v>
      </c>
      <c r="T950" s="87">
        <f ca="1" t="shared" si="31"/>
        <v>0.9264087406863837</v>
      </c>
    </row>
    <row r="951" spans="3:20" ht="13.5">
      <c r="C951" s="90"/>
      <c r="D951" s="356" t="s">
        <v>492</v>
      </c>
      <c r="E951" s="357">
        <v>1196.1293445474112</v>
      </c>
      <c r="F951" s="287">
        <v>8</v>
      </c>
      <c r="G951" s="359" t="s">
        <v>493</v>
      </c>
      <c r="H951" s="90"/>
      <c r="I951"/>
      <c r="J951"/>
      <c r="P951" s="54">
        <v>17</v>
      </c>
      <c r="Q951" s="1">
        <f t="shared" si="32"/>
        <v>355687428096000</v>
      </c>
      <c r="R951" s="87">
        <f t="shared" si="30"/>
        <v>0.005786373156272796</v>
      </c>
      <c r="S951" s="87">
        <f t="shared" si="33"/>
        <v>0.994686450437491</v>
      </c>
      <c r="T951" s="87">
        <f ca="1" t="shared" si="31"/>
        <v>0.8949918625130522</v>
      </c>
    </row>
    <row r="952" spans="3:20" ht="15" thickBot="1">
      <c r="C952" s="90"/>
      <c r="D952" s="307"/>
      <c r="E952" s="290">
        <v>28331.839868336054</v>
      </c>
      <c r="F952" s="290">
        <v>189.49014166394318</v>
      </c>
      <c r="G952" s="360"/>
      <c r="H952" s="90"/>
      <c r="I952"/>
      <c r="J952"/>
      <c r="P952" s="54">
        <v>18</v>
      </c>
      <c r="Q952" s="1">
        <f t="shared" si="32"/>
        <v>6402373705728000</v>
      </c>
      <c r="R952" s="87">
        <f t="shared" si="30"/>
        <v>0.0028931865781363984</v>
      </c>
      <c r="S952" s="87">
        <f t="shared" si="33"/>
        <v>0.9975796370156275</v>
      </c>
      <c r="T952" s="87">
        <f ca="1" t="shared" si="31"/>
        <v>0.9102620573121385</v>
      </c>
    </row>
    <row r="953" spans="5:20" ht="13.5" thickBot="1">
      <c r="E953"/>
      <c r="F953"/>
      <c r="G953"/>
      <c r="H953"/>
      <c r="I953"/>
      <c r="J953"/>
      <c r="P953" s="54">
        <v>19</v>
      </c>
      <c r="Q953" s="1">
        <f t="shared" si="32"/>
        <v>1.21645100408832E+17</v>
      </c>
      <c r="R953" s="87">
        <f t="shared" si="30"/>
        <v>0.0013704568001698728</v>
      </c>
      <c r="S953" s="87">
        <f t="shared" si="33"/>
        <v>0.9989500938157974</v>
      </c>
      <c r="T953" s="87">
        <f ca="1" t="shared" si="31"/>
        <v>0.9462069987839641</v>
      </c>
    </row>
    <row r="954" spans="2:20" ht="13.5">
      <c r="B954" s="94">
        <v>15</v>
      </c>
      <c r="C954" s="254"/>
      <c r="D954" s="361" t="s">
        <v>494</v>
      </c>
      <c r="E954" s="187"/>
      <c r="F954" s="361" t="s">
        <v>83</v>
      </c>
      <c r="G954" s="362">
        <f>F948</f>
        <v>51.27160276603081</v>
      </c>
      <c r="H954" s="362">
        <f>E948</f>
        <v>1280.6802755835527</v>
      </c>
      <c r="I954" s="363" t="s">
        <v>624</v>
      </c>
      <c r="J954"/>
      <c r="P954" s="54">
        <v>20</v>
      </c>
      <c r="Q954" s="1">
        <f t="shared" si="32"/>
        <v>2.43290200817664E+18</v>
      </c>
      <c r="R954" s="87">
        <f t="shared" si="30"/>
        <v>0.0006167055600764427</v>
      </c>
      <c r="S954" s="87">
        <f t="shared" si="33"/>
        <v>0.9995667993758738</v>
      </c>
      <c r="T954" s="87">
        <f ca="1" t="shared" si="31"/>
        <v>0.7621153528152718</v>
      </c>
    </row>
    <row r="955" spans="2:20" ht="15" thickBot="1">
      <c r="B955" s="91"/>
      <c r="C955" s="256"/>
      <c r="D955" s="364"/>
      <c r="E955" s="364"/>
      <c r="F955" s="364"/>
      <c r="G955" s="128"/>
      <c r="H955" s="365">
        <f>E948/E949</f>
        <v>34.58510292810118</v>
      </c>
      <c r="I955" s="272" t="s">
        <v>495</v>
      </c>
      <c r="J955"/>
      <c r="P955" s="54">
        <v>21</v>
      </c>
      <c r="Q955" s="1">
        <f t="shared" si="32"/>
        <v>5.109094217170944E+19</v>
      </c>
      <c r="R955" s="87">
        <f t="shared" si="30"/>
        <v>0.00026430238288990403</v>
      </c>
      <c r="S955" s="87">
        <f t="shared" si="33"/>
        <v>0.9998311017587637</v>
      </c>
      <c r="T955" s="87">
        <f ca="1" t="shared" si="31"/>
        <v>0.22447314818784392</v>
      </c>
    </row>
    <row r="956" spans="7:20" ht="12.75">
      <c r="G956" s="11"/>
      <c r="J956"/>
      <c r="P956" s="54">
        <v>22</v>
      </c>
      <c r="Q956" s="1">
        <f t="shared" si="32"/>
        <v>1.1240007277776077E+21</v>
      </c>
      <c r="R956" s="87">
        <f t="shared" si="30"/>
        <v>0.00010812370209132438</v>
      </c>
      <c r="S956" s="87">
        <f t="shared" si="33"/>
        <v>0.999939225460855</v>
      </c>
      <c r="T956" s="87">
        <f ca="1" t="shared" si="31"/>
        <v>0.001325032700151496</v>
      </c>
    </row>
    <row r="957" spans="3:20" ht="13.5">
      <c r="C957" s="91" t="s">
        <v>496</v>
      </c>
      <c r="G957" s="11"/>
      <c r="J957" s="90"/>
      <c r="K957"/>
      <c r="P957" s="54">
        <v>23</v>
      </c>
      <c r="Q957" s="1">
        <f t="shared" si="32"/>
        <v>2.585201673888498E+22</v>
      </c>
      <c r="R957" s="87">
        <f t="shared" si="30"/>
        <v>4.23092747313878E-05</v>
      </c>
      <c r="S957" s="87">
        <f t="shared" si="33"/>
        <v>0.9999815347355864</v>
      </c>
      <c r="T957" s="87">
        <f ca="1" t="shared" si="31"/>
        <v>0.715995315958935</v>
      </c>
    </row>
    <row r="958" spans="3:20" ht="13.5">
      <c r="C958" s="91" t="s">
        <v>497</v>
      </c>
      <c r="G958" s="11"/>
      <c r="J958" s="90"/>
      <c r="K958"/>
      <c r="P958" s="54">
        <v>24</v>
      </c>
      <c r="Q958" s="1">
        <f t="shared" si="32"/>
        <v>6.204484017332394E+23</v>
      </c>
      <c r="R958" s="87">
        <f t="shared" si="30"/>
        <v>1.5865978024270428E-05</v>
      </c>
      <c r="S958" s="87">
        <f t="shared" si="33"/>
        <v>0.9999974007136107</v>
      </c>
      <c r="T958" s="87">
        <f ca="1" t="shared" si="31"/>
        <v>0.5063134780893961</v>
      </c>
    </row>
    <row r="959" spans="7:20" ht="12">
      <c r="G959" s="11"/>
      <c r="P959" s="54">
        <v>25</v>
      </c>
      <c r="Q959" s="1">
        <f t="shared" si="32"/>
        <v>1.5511210043330986E+25</v>
      </c>
      <c r="R959" s="87">
        <f t="shared" si="30"/>
        <v>5.711752088737352E-06</v>
      </c>
      <c r="S959" s="87">
        <f t="shared" si="33"/>
        <v>1.0000031124656994</v>
      </c>
      <c r="T959" s="87">
        <f ca="1" t="shared" si="31"/>
        <v>0.3542709486282547</v>
      </c>
    </row>
    <row r="960" spans="3:20" ht="13.5">
      <c r="C960" s="90"/>
      <c r="D960" s="90"/>
      <c r="E960" s="90"/>
      <c r="F960" s="3" t="s">
        <v>498</v>
      </c>
      <c r="G960" s="90"/>
      <c r="H960" s="90"/>
      <c r="P960" s="54">
        <v>26</v>
      </c>
      <c r="Q960" s="1">
        <f t="shared" si="32"/>
        <v>4.0329146112660565E+26</v>
      </c>
      <c r="R960" s="87">
        <f t="shared" si="30"/>
        <v>1.9771449537936987E-06</v>
      </c>
      <c r="S960" s="87">
        <f t="shared" si="33"/>
        <v>1.0000050896106532</v>
      </c>
      <c r="T960" s="87">
        <f ca="1" t="shared" si="31"/>
        <v>0.5426273234852488</v>
      </c>
    </row>
    <row r="961" spans="3:20" ht="13.5">
      <c r="C961" s="90"/>
      <c r="D961" s="90"/>
      <c r="E961" s="90"/>
      <c r="F961" s="3" t="s">
        <v>499</v>
      </c>
      <c r="G961" s="90"/>
      <c r="H961" s="90"/>
      <c r="P961" s="54">
        <v>27</v>
      </c>
      <c r="Q961" s="1">
        <f t="shared" si="32"/>
        <v>1.0888869450418352E+28</v>
      </c>
      <c r="R961" s="87">
        <f t="shared" si="30"/>
        <v>6.590483179312331E-07</v>
      </c>
      <c r="S961" s="87">
        <f t="shared" si="33"/>
        <v>1.000005748658971</v>
      </c>
      <c r="T961" s="87">
        <f ca="1" t="shared" si="31"/>
        <v>0.8088108441424993</v>
      </c>
    </row>
    <row r="962" spans="3:20" ht="15" thickBot="1">
      <c r="C962" s="90"/>
      <c r="D962" s="90"/>
      <c r="E962" s="90"/>
      <c r="F962" s="90"/>
      <c r="G962" s="90"/>
      <c r="H962" s="90"/>
      <c r="P962" s="54">
        <v>28</v>
      </c>
      <c r="Q962" s="1">
        <f t="shared" si="32"/>
        <v>3.0488834461171384E+29</v>
      </c>
      <c r="R962" s="87">
        <f t="shared" si="30"/>
        <v>2.1183695933503923E-07</v>
      </c>
      <c r="S962" s="87">
        <f t="shared" si="33"/>
        <v>1.0000059604959304</v>
      </c>
      <c r="T962" s="87">
        <f ca="1" t="shared" si="31"/>
        <v>0.3387228880810653</v>
      </c>
    </row>
    <row r="963" spans="3:20" ht="13.5">
      <c r="C963" s="254"/>
      <c r="D963" s="119" t="s">
        <v>624</v>
      </c>
      <c r="E963" s="119" t="s">
        <v>500</v>
      </c>
      <c r="F963" s="119" t="s">
        <v>626</v>
      </c>
      <c r="G963" s="119" t="s">
        <v>626</v>
      </c>
      <c r="H963" s="117" t="s">
        <v>627</v>
      </c>
      <c r="P963" s="54">
        <v>29</v>
      </c>
      <c r="Q963" s="1">
        <f t="shared" si="32"/>
        <v>8.841761993739701E+30</v>
      </c>
      <c r="R963" s="87">
        <f t="shared" si="30"/>
        <v>6.574250462121907E-08</v>
      </c>
      <c r="S963" s="87">
        <f t="shared" si="33"/>
        <v>1.000006026238435</v>
      </c>
      <c r="T963" s="87">
        <f ca="1" t="shared" si="31"/>
        <v>0.8311910595548397</v>
      </c>
    </row>
    <row r="964" spans="3:20" ht="15" thickBot="1">
      <c r="C964" s="256"/>
      <c r="D964" s="120" t="s">
        <v>630</v>
      </c>
      <c r="E964" s="120" t="s">
        <v>475</v>
      </c>
      <c r="F964" s="120" t="s">
        <v>54</v>
      </c>
      <c r="G964" s="120" t="s">
        <v>476</v>
      </c>
      <c r="H964" s="121" t="s">
        <v>477</v>
      </c>
      <c r="I964"/>
      <c r="P964" s="72">
        <v>30</v>
      </c>
      <c r="Q964" s="1">
        <f t="shared" si="32"/>
        <v>2.6525285981219103E+32</v>
      </c>
      <c r="R964" s="87">
        <f t="shared" si="30"/>
        <v>1.9722751386365722E-08</v>
      </c>
      <c r="S964" s="87">
        <f t="shared" si="33"/>
        <v>1.0000060459611864</v>
      </c>
      <c r="T964" s="87">
        <f ca="1" t="shared" si="31"/>
        <v>0.6221993548579121</v>
      </c>
    </row>
    <row r="965" spans="3:9" ht="13.5">
      <c r="C965" s="255"/>
      <c r="D965" s="333">
        <v>0.55679</v>
      </c>
      <c r="E965" s="334">
        <f aca="true" t="shared" si="34" ref="E965:E974">$G$954+$H$954*D965</f>
        <v>764.3415734081971</v>
      </c>
      <c r="F965" s="334">
        <v>44.02</v>
      </c>
      <c r="G965" s="335">
        <v>588.26</v>
      </c>
      <c r="H965" s="366">
        <v>3297.06</v>
      </c>
      <c r="I965"/>
    </row>
    <row r="966" spans="3:9" ht="13.5">
      <c r="C966" s="255"/>
      <c r="D966" s="333">
        <v>0.523436</v>
      </c>
      <c r="E966" s="334">
        <f t="shared" si="34"/>
        <v>721.6257634963833</v>
      </c>
      <c r="F966" s="334">
        <v>41.35</v>
      </c>
      <c r="G966" s="335">
        <v>556.22</v>
      </c>
      <c r="H966" s="366">
        <v>1473.92</v>
      </c>
      <c r="I966"/>
    </row>
    <row r="967" spans="3:10" ht="13.5">
      <c r="C967" s="255"/>
      <c r="D967" s="333">
        <v>0.495937</v>
      </c>
      <c r="E967" s="334">
        <f t="shared" si="34"/>
        <v>686.4083365981112</v>
      </c>
      <c r="F967" s="334">
        <v>39.15</v>
      </c>
      <c r="G967" s="335">
        <v>529.81</v>
      </c>
      <c r="H967" s="366">
        <v>56.27</v>
      </c>
      <c r="I967"/>
      <c r="J967"/>
    </row>
    <row r="968" spans="3:10" ht="13.5">
      <c r="C968" s="255"/>
      <c r="D968" s="333">
        <v>0.513495</v>
      </c>
      <c r="E968" s="334">
        <f t="shared" si="34"/>
        <v>708.8945208768072</v>
      </c>
      <c r="F968" s="334">
        <v>40.56</v>
      </c>
      <c r="G968" s="335">
        <v>546.7</v>
      </c>
      <c r="H968" s="366">
        <v>952.17</v>
      </c>
      <c r="I968"/>
      <c r="J968"/>
    </row>
    <row r="969" spans="3:10" ht="13.5">
      <c r="C969" s="255"/>
      <c r="D969" s="333">
        <v>0.410299</v>
      </c>
      <c r="E969" s="334">
        <f t="shared" si="34"/>
        <v>576.7334391576869</v>
      </c>
      <c r="F969" s="334">
        <v>32.3</v>
      </c>
      <c r="G969" s="335">
        <v>447.55</v>
      </c>
      <c r="H969" s="366">
        <v>-3861.85</v>
      </c>
      <c r="I969"/>
      <c r="J969"/>
    </row>
    <row r="970" spans="3:10" ht="13.5">
      <c r="C970" s="255"/>
      <c r="D970" s="333">
        <v>0.490337</v>
      </c>
      <c r="E970" s="334">
        <f t="shared" si="34"/>
        <v>679.2365270548434</v>
      </c>
      <c r="F970" s="334">
        <v>38.7</v>
      </c>
      <c r="G970" s="335">
        <v>524.43</v>
      </c>
      <c r="H970" s="366">
        <v>-222.84</v>
      </c>
      <c r="I970"/>
      <c r="J970"/>
    </row>
    <row r="971" spans="3:10" ht="13.5">
      <c r="C971" s="255"/>
      <c r="D971" s="333">
        <v>0.474196</v>
      </c>
      <c r="E971" s="334">
        <f t="shared" si="34"/>
        <v>658.5650667266492</v>
      </c>
      <c r="F971" s="334">
        <v>37.41</v>
      </c>
      <c r="G971" s="335">
        <v>508.93</v>
      </c>
      <c r="H971" s="366">
        <v>-1009.47</v>
      </c>
      <c r="I971"/>
      <c r="J971"/>
    </row>
    <row r="972" spans="3:11" ht="13.5">
      <c r="C972" s="255"/>
      <c r="D972" s="333">
        <v>0.467301</v>
      </c>
      <c r="E972" s="334">
        <f t="shared" si="34"/>
        <v>649.7347762265006</v>
      </c>
      <c r="F972" s="334">
        <v>36.86</v>
      </c>
      <c r="G972" s="335">
        <v>502.3</v>
      </c>
      <c r="H972" s="366">
        <v>-1337.73</v>
      </c>
      <c r="I972"/>
      <c r="J972"/>
      <c r="K972" s="13"/>
    </row>
    <row r="973" spans="3:10" ht="13.5">
      <c r="C973" s="255"/>
      <c r="D973" s="333">
        <v>0.554273</v>
      </c>
      <c r="E973" s="334">
        <f t="shared" si="34"/>
        <v>761.1181011545533</v>
      </c>
      <c r="F973" s="334">
        <v>43.82</v>
      </c>
      <c r="G973" s="335">
        <v>585.84</v>
      </c>
      <c r="H973" s="366">
        <v>3155.63</v>
      </c>
      <c r="I973"/>
      <c r="J973"/>
    </row>
    <row r="974" spans="3:10" ht="15" thickBot="1">
      <c r="C974" s="256"/>
      <c r="D974" s="337">
        <v>0.474826</v>
      </c>
      <c r="E974" s="338">
        <f t="shared" si="34"/>
        <v>659.3718953002668</v>
      </c>
      <c r="F974" s="338">
        <v>37.46</v>
      </c>
      <c r="G974" s="339">
        <v>509.53</v>
      </c>
      <c r="H974" s="367">
        <v>-979.52</v>
      </c>
      <c r="I974"/>
      <c r="J974"/>
    </row>
    <row r="975" spans="3:10" ht="13.5">
      <c r="C975" s="341" t="s">
        <v>483</v>
      </c>
      <c r="D975" s="342">
        <f>AVERAGE(D965:D974)</f>
        <v>0.4960890000000001</v>
      </c>
      <c r="E975" s="343">
        <f>AVERAGE(E965:E974)</f>
        <v>686.603</v>
      </c>
      <c r="F975" s="343">
        <f>AVERAGE(F965:F974)</f>
        <v>39.163</v>
      </c>
      <c r="G975" s="344">
        <f>AVERAGE(G965:G974)</f>
        <v>529.957</v>
      </c>
      <c r="H975" s="345">
        <f>AVERAGE(H965:H974)</f>
        <v>152.36400000000003</v>
      </c>
      <c r="I975"/>
      <c r="J975"/>
    </row>
    <row r="976" spans="3:10" ht="13.5">
      <c r="C976" s="144" t="s">
        <v>484</v>
      </c>
      <c r="D976" s="346">
        <f>STDEV(D965:D975)</f>
        <v>0.041562022053792516</v>
      </c>
      <c r="E976" s="347">
        <f>STDEV(E965:E975)</f>
        <v>53.22766185766018</v>
      </c>
      <c r="F976" s="347">
        <f>STDEV(F965:F975)</f>
        <v>3.3257331522537905</v>
      </c>
      <c r="G976" s="347">
        <f>STDEV(G965:G975)</f>
        <v>39.922440318697916</v>
      </c>
      <c r="H976" s="348">
        <f>STDEV(H965:H975)</f>
        <v>2059.3747933788063</v>
      </c>
      <c r="I976"/>
      <c r="J976"/>
    </row>
    <row r="977" spans="3:10" ht="15" thickBot="1">
      <c r="C977" s="102" t="s">
        <v>485</v>
      </c>
      <c r="D977" s="349">
        <f>D976/D975</f>
        <v>0.08377936631086863</v>
      </c>
      <c r="E977" s="349">
        <f>E976/E975</f>
        <v>0.07752320024477054</v>
      </c>
      <c r="F977" s="349">
        <f>F976/F975</f>
        <v>0.08492028578642573</v>
      </c>
      <c r="G977" s="349">
        <f>G976/G975</f>
        <v>0.07533147089046455</v>
      </c>
      <c r="H977" s="350">
        <f>H976/H975</f>
        <v>13.516150753319721</v>
      </c>
      <c r="I977"/>
      <c r="J977"/>
    </row>
    <row r="978" spans="2:10" ht="12.75">
      <c r="B978"/>
      <c r="C978"/>
      <c r="D978"/>
      <c r="E978"/>
      <c r="F978"/>
      <c r="G978"/>
      <c r="H978"/>
      <c r="I978"/>
      <c r="J978"/>
    </row>
    <row r="979" spans="2:10" ht="13.5">
      <c r="B979" s="91" t="s">
        <v>501</v>
      </c>
      <c r="C979"/>
      <c r="D979"/>
      <c r="E979"/>
      <c r="F979"/>
      <c r="G979"/>
      <c r="H979"/>
      <c r="I979"/>
      <c r="J979"/>
    </row>
    <row r="980" spans="2:10" ht="13.5">
      <c r="B980" s="91" t="s">
        <v>502</v>
      </c>
      <c r="C980"/>
      <c r="D980"/>
      <c r="E980"/>
      <c r="F980"/>
      <c r="G980"/>
      <c r="H980"/>
      <c r="I980"/>
      <c r="J980"/>
    </row>
    <row r="981" spans="2:10" ht="13.5">
      <c r="B981" s="91" t="s">
        <v>503</v>
      </c>
      <c r="C981"/>
      <c r="D981"/>
      <c r="E981"/>
      <c r="F981"/>
      <c r="G981"/>
      <c r="H981"/>
      <c r="I981"/>
      <c r="J981"/>
    </row>
    <row r="982" spans="2:10" ht="13.5">
      <c r="B982" s="91" t="s">
        <v>504</v>
      </c>
      <c r="C982"/>
      <c r="D982"/>
      <c r="E982"/>
      <c r="F982"/>
      <c r="G982"/>
      <c r="H982"/>
      <c r="I982"/>
      <c r="J982"/>
    </row>
    <row r="983" spans="2:10" ht="13.5">
      <c r="B983" s="91" t="s">
        <v>505</v>
      </c>
      <c r="C983"/>
      <c r="E983"/>
      <c r="F983"/>
      <c r="G983"/>
      <c r="H983"/>
      <c r="I983"/>
      <c r="J983"/>
    </row>
    <row r="984" spans="2:10" ht="13.5">
      <c r="B984" s="91" t="s">
        <v>661</v>
      </c>
      <c r="C984"/>
      <c r="E984"/>
      <c r="F984"/>
      <c r="G984"/>
      <c r="H984"/>
      <c r="I984"/>
      <c r="J984"/>
    </row>
    <row r="985" spans="2:10" ht="13.5">
      <c r="B985" s="90" t="s">
        <v>662</v>
      </c>
      <c r="C985"/>
      <c r="E985" s="45"/>
      <c r="F985" s="38"/>
      <c r="G985" s="38"/>
      <c r="H985" s="38"/>
      <c r="I985" s="38"/>
      <c r="J985" s="46"/>
    </row>
    <row r="986" spans="2:10" ht="13.5">
      <c r="B986" s="91" t="s">
        <v>663</v>
      </c>
      <c r="C986"/>
      <c r="E986" s="45"/>
      <c r="F986" s="38"/>
      <c r="G986" s="38"/>
      <c r="H986" s="38"/>
      <c r="I986" s="38"/>
      <c r="J986" s="46"/>
    </row>
    <row r="987" spans="2:10" ht="13.5">
      <c r="B987" s="91" t="s">
        <v>664</v>
      </c>
      <c r="C987"/>
      <c r="E987" s="45"/>
      <c r="F987" s="38"/>
      <c r="G987" s="38"/>
      <c r="H987" s="38"/>
      <c r="I987" s="38"/>
      <c r="J987" s="46"/>
    </row>
    <row r="988" spans="2:10" ht="13.5">
      <c r="B988" s="91" t="s">
        <v>665</v>
      </c>
      <c r="C988"/>
      <c r="E988" s="45"/>
      <c r="F988" s="38"/>
      <c r="G988" s="38"/>
      <c r="H988" s="38"/>
      <c r="I988" s="38"/>
      <c r="J988" s="46"/>
    </row>
    <row r="989" spans="2:10" ht="13.5">
      <c r="B989" s="91" t="s">
        <v>666</v>
      </c>
      <c r="C989"/>
      <c r="E989" s="45"/>
      <c r="F989" s="38"/>
      <c r="G989" s="38"/>
      <c r="H989" s="38"/>
      <c r="I989" s="38"/>
      <c r="J989" s="46"/>
    </row>
    <row r="990" spans="2:10" ht="13.5">
      <c r="B990" s="90" t="s">
        <v>667</v>
      </c>
      <c r="C990"/>
      <c r="E990" s="45"/>
      <c r="F990" s="38"/>
      <c r="G990" s="38"/>
      <c r="H990" s="38"/>
      <c r="I990" s="38"/>
      <c r="J990" s="46"/>
    </row>
    <row r="991" spans="2:10" ht="12.75">
      <c r="B991"/>
      <c r="C991"/>
      <c r="E991" s="45"/>
      <c r="F991" s="38"/>
      <c r="G991" s="38"/>
      <c r="H991" s="38"/>
      <c r="I991" s="38"/>
      <c r="J991" s="46"/>
    </row>
    <row r="992" spans="2:10" ht="13.5">
      <c r="B992" s="92" t="s">
        <v>668</v>
      </c>
      <c r="E992" s="45"/>
      <c r="F992" s="38"/>
      <c r="G992" s="38"/>
      <c r="H992" s="38"/>
      <c r="I992" s="38"/>
      <c r="J992" s="46"/>
    </row>
    <row r="993" spans="2:10" ht="13.5">
      <c r="B993" s="91" t="s">
        <v>669</v>
      </c>
      <c r="C993" s="90"/>
      <c r="D993" s="45"/>
      <c r="E993" s="38"/>
      <c r="F993" s="38"/>
      <c r="G993" s="38"/>
      <c r="H993" s="38"/>
      <c r="I993" s="38"/>
      <c r="J993" s="46"/>
    </row>
    <row r="994" spans="2:10" ht="13.5">
      <c r="B994" s="91" t="s">
        <v>670</v>
      </c>
      <c r="C994" s="90"/>
      <c r="D994" s="45"/>
      <c r="E994" s="38"/>
      <c r="F994" s="38"/>
      <c r="G994" s="38"/>
      <c r="H994" s="38"/>
      <c r="I994" s="38"/>
      <c r="J994" s="46"/>
    </row>
    <row r="995" spans="2:10" ht="15" thickBot="1">
      <c r="B995" s="91" t="s">
        <v>671</v>
      </c>
      <c r="C995" s="90"/>
      <c r="D995" s="45"/>
      <c r="E995" s="38"/>
      <c r="F995" s="38"/>
      <c r="G995" s="38"/>
      <c r="H995" s="38"/>
      <c r="I995" s="38"/>
      <c r="J995" s="46"/>
    </row>
    <row r="996" spans="2:13" ht="15" thickBot="1">
      <c r="B996" s="91" t="s">
        <v>672</v>
      </c>
      <c r="C996" s="90"/>
      <c r="D996" s="45"/>
      <c r="E996" s="160">
        <v>-12197.16</v>
      </c>
      <c r="F996" s="115" t="s">
        <v>673</v>
      </c>
      <c r="G996"/>
      <c r="H996" s="38"/>
      <c r="I996" s="38"/>
      <c r="J996" s="46"/>
      <c r="M996" s="11"/>
    </row>
    <row r="997" spans="2:13" ht="13.5">
      <c r="B997" s="91" t="s">
        <v>674</v>
      </c>
      <c r="C997" s="90"/>
      <c r="D997" s="45"/>
      <c r="E997" s="38"/>
      <c r="F997" s="38"/>
      <c r="G997" s="38"/>
      <c r="H997" s="38"/>
      <c r="I997"/>
      <c r="J997" s="46"/>
      <c r="M997" s="11"/>
    </row>
    <row r="998" spans="2:13" ht="13.5">
      <c r="B998" s="91" t="s">
        <v>675</v>
      </c>
      <c r="C998" s="90"/>
      <c r="D998" s="45"/>
      <c r="E998" s="38"/>
      <c r="F998" s="38"/>
      <c r="G998" s="38"/>
      <c r="H998" s="38"/>
      <c r="I998"/>
      <c r="J998" s="46"/>
      <c r="M998" s="11"/>
    </row>
    <row r="999" spans="2:13" ht="13.5">
      <c r="B999" s="90" t="s">
        <v>676</v>
      </c>
      <c r="C999" s="90"/>
      <c r="D999" s="45"/>
      <c r="E999" s="38"/>
      <c r="F999" s="38"/>
      <c r="G999" s="38"/>
      <c r="H999" s="38"/>
      <c r="I999"/>
      <c r="J999"/>
      <c r="K999"/>
      <c r="L999" s="46"/>
      <c r="M999" s="11"/>
    </row>
    <row r="1000" spans="2:13" ht="13.5">
      <c r="B1000" s="91"/>
      <c r="C1000" s="90"/>
      <c r="D1000" s="45"/>
      <c r="E1000" s="38"/>
      <c r="F1000" s="38"/>
      <c r="G1000" s="38"/>
      <c r="H1000"/>
      <c r="I1000"/>
      <c r="J1000" s="183"/>
      <c r="K1000" s="115"/>
      <c r="L1000" s="46"/>
      <c r="M1000" s="11"/>
    </row>
    <row r="1001" spans="2:13" ht="13.5">
      <c r="B1001" s="91" t="s">
        <v>677</v>
      </c>
      <c r="C1001" s="90"/>
      <c r="D1001" s="45"/>
      <c r="E1001" s="38"/>
      <c r="F1001" s="38"/>
      <c r="G1001" s="38"/>
      <c r="H1001" s="38"/>
      <c r="I1001"/>
      <c r="J1001" s="183"/>
      <c r="K1001" s="115"/>
      <c r="L1001" s="46"/>
      <c r="M1001" s="11"/>
    </row>
    <row r="1002" spans="2:13" ht="13.5">
      <c r="B1002" s="91" t="s">
        <v>678</v>
      </c>
      <c r="C1002" s="90"/>
      <c r="D1002" s="45"/>
      <c r="E1002" s="38"/>
      <c r="F1002" s="38"/>
      <c r="G1002" s="38"/>
      <c r="H1002" s="38"/>
      <c r="I1002"/>
      <c r="J1002" s="46"/>
      <c r="M1002" s="11"/>
    </row>
    <row r="1003" spans="2:13" ht="13.5">
      <c r="B1003" s="91" t="s">
        <v>679</v>
      </c>
      <c r="C1003" s="90"/>
      <c r="D1003" s="45"/>
      <c r="E1003" s="38"/>
      <c r="F1003" s="38"/>
      <c r="G1003" s="38"/>
      <c r="H1003" s="38"/>
      <c r="I1003"/>
      <c r="J1003" s="46"/>
      <c r="M1003" s="11"/>
    </row>
    <row r="1004" spans="2:13" ht="13.5">
      <c r="B1004" s="91" t="s">
        <v>680</v>
      </c>
      <c r="C1004" s="90"/>
      <c r="D1004" s="45"/>
      <c r="E1004" s="38"/>
      <c r="F1004" s="38"/>
      <c r="G1004" s="38"/>
      <c r="H1004" s="38"/>
      <c r="I1004"/>
      <c r="J1004" s="46"/>
      <c r="M1004" s="11"/>
    </row>
    <row r="1005" spans="2:10" ht="13.5">
      <c r="B1005" s="91" t="s">
        <v>681</v>
      </c>
      <c r="C1005" s="90"/>
      <c r="D1005" s="45"/>
      <c r="E1005" s="38"/>
      <c r="F1005" s="38"/>
      <c r="G1005" s="38"/>
      <c r="H1005" s="38"/>
      <c r="I1005"/>
      <c r="J1005" s="46"/>
    </row>
    <row r="1006" spans="2:10" ht="13.5">
      <c r="B1006" s="91"/>
      <c r="C1006" s="90"/>
      <c r="D1006" s="45"/>
      <c r="E1006" s="38"/>
      <c r="F1006" s="38"/>
      <c r="G1006" s="38"/>
      <c r="H1006" s="38"/>
      <c r="I1006"/>
      <c r="J1006" s="46"/>
    </row>
    <row r="1007" spans="2:10" ht="13.5">
      <c r="B1007" s="91" t="s">
        <v>682</v>
      </c>
      <c r="C1007" s="90"/>
      <c r="D1007" s="45"/>
      <c r="E1007" s="38"/>
      <c r="F1007" s="38"/>
      <c r="G1007" s="38"/>
      <c r="H1007" s="38"/>
      <c r="I1007"/>
      <c r="J1007" s="46"/>
    </row>
    <row r="1008" spans="2:10" ht="13.5">
      <c r="B1008" s="91" t="s">
        <v>683</v>
      </c>
      <c r="C1008" s="90"/>
      <c r="D1008" s="45"/>
      <c r="E1008" s="38"/>
      <c r="F1008" s="38"/>
      <c r="G1008" s="38"/>
      <c r="H1008" s="38"/>
      <c r="I1008"/>
      <c r="J1008" s="46"/>
    </row>
    <row r="1009" spans="2:10" ht="13.5">
      <c r="B1009" s="91" t="s">
        <v>684</v>
      </c>
      <c r="C1009" s="90"/>
      <c r="D1009" s="45"/>
      <c r="E1009" s="38"/>
      <c r="F1009" s="38"/>
      <c r="G1009" s="38"/>
      <c r="H1009" s="38"/>
      <c r="I1009"/>
      <c r="J1009" s="46"/>
    </row>
    <row r="1010" spans="2:10" ht="13.5">
      <c r="B1010" s="91" t="s">
        <v>685</v>
      </c>
      <c r="C1010" s="90"/>
      <c r="D1010" s="45"/>
      <c r="E1010" s="38"/>
      <c r="F1010" s="38"/>
      <c r="G1010" s="38"/>
      <c r="H1010" s="38"/>
      <c r="I1010"/>
      <c r="J1010" s="46"/>
    </row>
    <row r="1011" spans="2:10" ht="13.5">
      <c r="B1011" s="91" t="s">
        <v>564</v>
      </c>
      <c r="C1011" s="90"/>
      <c r="D1011" s="45"/>
      <c r="E1011" s="38"/>
      <c r="F1011" s="38"/>
      <c r="G1011" s="38"/>
      <c r="H1011" s="38"/>
      <c r="I1011"/>
      <c r="J1011" s="46"/>
    </row>
    <row r="1012" spans="2:10" ht="13.5">
      <c r="B1012" s="91" t="s">
        <v>565</v>
      </c>
      <c r="C1012" s="90"/>
      <c r="D1012" s="45"/>
      <c r="E1012" s="38"/>
      <c r="F1012" s="38"/>
      <c r="G1012" s="38"/>
      <c r="H1012" s="38"/>
      <c r="I1012"/>
      <c r="J1012" s="46"/>
    </row>
    <row r="1013" spans="2:10" ht="13.5">
      <c r="B1013" s="91" t="s">
        <v>566</v>
      </c>
      <c r="C1013" s="90"/>
      <c r="D1013" s="45"/>
      <c r="E1013" s="38"/>
      <c r="F1013" s="38"/>
      <c r="G1013" s="38"/>
      <c r="H1013" s="38"/>
      <c r="I1013"/>
      <c r="J1013" s="46"/>
    </row>
    <row r="1014" spans="2:10" ht="12.75">
      <c r="B1014"/>
      <c r="C1014"/>
      <c r="D1014"/>
      <c r="E1014"/>
      <c r="F1014"/>
      <c r="G1014"/>
      <c r="H1014" s="38"/>
      <c r="I1014"/>
      <c r="J1014" s="46"/>
    </row>
    <row r="1015" spans="2:10" ht="12.75">
      <c r="B1015"/>
      <c r="C1015"/>
      <c r="D1015"/>
      <c r="E1015"/>
      <c r="F1015"/>
      <c r="G1015"/>
      <c r="H1015" s="38"/>
      <c r="I1015"/>
      <c r="J1015" s="46"/>
    </row>
    <row r="1016" spans="2:10" ht="12.75">
      <c r="B1016"/>
      <c r="C1016"/>
      <c r="D1016"/>
      <c r="E1016"/>
      <c r="F1016"/>
      <c r="G1016"/>
      <c r="H1016" s="38"/>
      <c r="I1016"/>
      <c r="J1016" s="46"/>
    </row>
    <row r="1017" spans="2:10" ht="12.75">
      <c r="B1017"/>
      <c r="C1017"/>
      <c r="D1017"/>
      <c r="E1017"/>
      <c r="F1017"/>
      <c r="G1017"/>
      <c r="H1017" s="38"/>
      <c r="I1017"/>
      <c r="J1017" s="46"/>
    </row>
    <row r="1018" spans="3:11" ht="12.75">
      <c r="C1018" s="1"/>
      <c r="D1018" s="30"/>
      <c r="E1018"/>
      <c r="F1018"/>
      <c r="G1018"/>
      <c r="H1018"/>
      <c r="I1018"/>
      <c r="J1018"/>
      <c r="K1018" s="38"/>
    </row>
    <row r="1019" spans="3:11" ht="12.75">
      <c r="C1019" s="1"/>
      <c r="D1019" s="30"/>
      <c r="E1019"/>
      <c r="F1019"/>
      <c r="G1019"/>
      <c r="H1019"/>
      <c r="I1019"/>
      <c r="J1019"/>
      <c r="K1019" s="38"/>
    </row>
    <row r="1020" spans="3:11" ht="12.75">
      <c r="C1020" s="1"/>
      <c r="D1020" s="30"/>
      <c r="E1020"/>
      <c r="F1020"/>
      <c r="G1020"/>
      <c r="H1020"/>
      <c r="I1020"/>
      <c r="J1020"/>
      <c r="K1020" s="38"/>
    </row>
    <row r="1021" spans="3:11" ht="12.75">
      <c r="C1021" s="1"/>
      <c r="D1021" s="30"/>
      <c r="E1021"/>
      <c r="F1021"/>
      <c r="G1021"/>
      <c r="H1021"/>
      <c r="I1021"/>
      <c r="J1021"/>
      <c r="K1021" s="38"/>
    </row>
    <row r="1022" spans="3:11" ht="12.75">
      <c r="C1022" s="1"/>
      <c r="D1022" s="30"/>
      <c r="E1022"/>
      <c r="F1022"/>
      <c r="G1022"/>
      <c r="H1022"/>
      <c r="I1022"/>
      <c r="J1022"/>
      <c r="K1022" s="38"/>
    </row>
    <row r="1023" spans="3:11" ht="12.75">
      <c r="C1023" s="1"/>
      <c r="D1023" s="30"/>
      <c r="E1023"/>
      <c r="F1023"/>
      <c r="G1023"/>
      <c r="H1023"/>
      <c r="I1023"/>
      <c r="J1023"/>
      <c r="K1023" s="38"/>
    </row>
    <row r="1024" spans="3:11" ht="12.75">
      <c r="C1024" s="1"/>
      <c r="D1024" s="30"/>
      <c r="E1024"/>
      <c r="F1024"/>
      <c r="G1024"/>
      <c r="H1024"/>
      <c r="I1024"/>
      <c r="J1024"/>
      <c r="K1024" s="38"/>
    </row>
    <row r="1025" spans="3:11" ht="12.75">
      <c r="C1025" s="1"/>
      <c r="D1025" s="30"/>
      <c r="E1025"/>
      <c r="F1025"/>
      <c r="G1025"/>
      <c r="H1025"/>
      <c r="I1025"/>
      <c r="J1025"/>
      <c r="K1025" s="38"/>
    </row>
    <row r="1026" spans="3:11" ht="12.75">
      <c r="C1026" s="1"/>
      <c r="D1026" s="30"/>
      <c r="E1026"/>
      <c r="F1026"/>
      <c r="G1026"/>
      <c r="H1026"/>
      <c r="I1026"/>
      <c r="J1026"/>
      <c r="K1026" s="38"/>
    </row>
    <row r="1027" spans="3:11" ht="12.75">
      <c r="C1027" s="1"/>
      <c r="D1027" s="30"/>
      <c r="E1027"/>
      <c r="F1027"/>
      <c r="G1027"/>
      <c r="H1027"/>
      <c r="I1027"/>
      <c r="J1027"/>
      <c r="K1027" s="38"/>
    </row>
    <row r="1028" spans="3:11" ht="12.75">
      <c r="C1028" s="1"/>
      <c r="D1028" s="30"/>
      <c r="E1028"/>
      <c r="F1028"/>
      <c r="G1028"/>
      <c r="H1028"/>
      <c r="I1028"/>
      <c r="J1028"/>
      <c r="K1028" s="38"/>
    </row>
    <row r="1029" spans="3:11" ht="12.75">
      <c r="C1029" s="1"/>
      <c r="D1029" s="30"/>
      <c r="E1029"/>
      <c r="F1029"/>
      <c r="G1029"/>
      <c r="H1029"/>
      <c r="I1029"/>
      <c r="J1029"/>
      <c r="K1029" s="38"/>
    </row>
    <row r="1030" spans="3:11" ht="12.75">
      <c r="C1030" s="1"/>
      <c r="D1030" s="30"/>
      <c r="E1030"/>
      <c r="F1030"/>
      <c r="G1030"/>
      <c r="H1030"/>
      <c r="I1030"/>
      <c r="J1030"/>
      <c r="K1030" s="38"/>
    </row>
    <row r="1031" spans="3:11" ht="12.75">
      <c r="C1031" s="1"/>
      <c r="D1031" s="30"/>
      <c r="E1031"/>
      <c r="F1031"/>
      <c r="G1031"/>
      <c r="H1031"/>
      <c r="I1031"/>
      <c r="J1031"/>
      <c r="K1031" s="38"/>
    </row>
    <row r="1032" spans="3:11" ht="15.75">
      <c r="C1032" s="1"/>
      <c r="D1032" s="30"/>
      <c r="E1032"/>
      <c r="F1032" s="462" t="s">
        <v>567</v>
      </c>
      <c r="G1032"/>
      <c r="H1032"/>
      <c r="I1032"/>
      <c r="J1032"/>
      <c r="K1032" s="38"/>
    </row>
    <row r="1033" spans="3:11" ht="15" thickBot="1">
      <c r="C1033" s="1"/>
      <c r="D1033" s="45"/>
      <c r="E1033" s="38"/>
      <c r="F1033" s="389" t="s">
        <v>48</v>
      </c>
      <c r="G1033" s="38"/>
      <c r="H1033" s="38"/>
      <c r="I1033"/>
      <c r="J1033"/>
      <c r="K1033" s="38"/>
    </row>
    <row r="1034" spans="3:11" ht="13.5">
      <c r="C1034" s="208"/>
      <c r="D1034" s="390"/>
      <c r="E1034" s="369" t="s">
        <v>568</v>
      </c>
      <c r="F1034" s="370"/>
      <c r="G1034" s="371" t="s">
        <v>569</v>
      </c>
      <c r="H1034" s="372" t="s">
        <v>570</v>
      </c>
      <c r="I1034" s="52"/>
      <c r="J1034"/>
      <c r="K1034" s="38"/>
    </row>
    <row r="1035" spans="3:11" ht="13.5">
      <c r="C1035" s="220"/>
      <c r="D1035" s="147"/>
      <c r="E1035" s="98"/>
      <c r="F1035" s="373" t="s">
        <v>571</v>
      </c>
      <c r="G1035" s="374">
        <v>25</v>
      </c>
      <c r="H1035" s="374">
        <v>25</v>
      </c>
      <c r="I1035" s="53"/>
      <c r="J1035"/>
      <c r="K1035" s="38"/>
    </row>
    <row r="1036" spans="3:11" ht="13.5">
      <c r="C1036" s="220"/>
      <c r="D1036" s="147"/>
      <c r="E1036" s="98"/>
      <c r="F1036" s="373" t="s">
        <v>572</v>
      </c>
      <c r="G1036" s="374">
        <v>600</v>
      </c>
      <c r="H1036" s="374">
        <v>600</v>
      </c>
      <c r="I1036" s="53"/>
      <c r="J1036"/>
      <c r="K1036" s="38"/>
    </row>
    <row r="1037" spans="3:11" ht="13.5">
      <c r="C1037" s="220"/>
      <c r="D1037" s="147"/>
      <c r="E1037" s="98"/>
      <c r="F1037" s="373" t="s">
        <v>573</v>
      </c>
      <c r="G1037" s="374">
        <v>0.25</v>
      </c>
      <c r="H1037" s="374">
        <v>0.2</v>
      </c>
      <c r="I1037" s="53"/>
      <c r="J1037"/>
      <c r="K1037" s="38"/>
    </row>
    <row r="1038" spans="3:11" ht="13.5">
      <c r="C1038" s="220"/>
      <c r="D1038" s="147"/>
      <c r="E1038" s="98"/>
      <c r="F1038" s="373" t="s">
        <v>574</v>
      </c>
      <c r="G1038" s="374">
        <v>1500</v>
      </c>
      <c r="H1038" s="374">
        <f>G23</f>
        <v>180</v>
      </c>
      <c r="I1038" s="53"/>
      <c r="J1038"/>
      <c r="K1038" s="46"/>
    </row>
    <row r="1039" spans="3:11" ht="13.5">
      <c r="C1039" s="220"/>
      <c r="D1039" s="147"/>
      <c r="E1039" s="98"/>
      <c r="F1039" s="373" t="s">
        <v>575</v>
      </c>
      <c r="G1039" s="375">
        <f>D1121/G1038</f>
        <v>0.6800676172593356</v>
      </c>
      <c r="H1039" s="374"/>
      <c r="I1039" s="53"/>
      <c r="J1039"/>
      <c r="K1039" s="46"/>
    </row>
    <row r="1040" spans="3:11" ht="13.5">
      <c r="C1040" s="220"/>
      <c r="D1040" s="147"/>
      <c r="E1040" s="98"/>
      <c r="F1040" s="373" t="s">
        <v>576</v>
      </c>
      <c r="G1040" s="374">
        <v>500</v>
      </c>
      <c r="H1040" s="374">
        <v>500</v>
      </c>
      <c r="I1040" s="53"/>
      <c r="J1040"/>
      <c r="K1040" s="46"/>
    </row>
    <row r="1041" spans="3:11" ht="13.5">
      <c r="C1041" s="220"/>
      <c r="D1041" s="147"/>
      <c r="E1041" s="98"/>
      <c r="F1041" s="98" t="s">
        <v>68</v>
      </c>
      <c r="G1041" s="376">
        <v>0.1</v>
      </c>
      <c r="H1041" s="376">
        <v>0.1</v>
      </c>
      <c r="I1041" s="53"/>
      <c r="J1041"/>
      <c r="K1041" s="46"/>
    </row>
    <row r="1042" spans="3:11" ht="13.5">
      <c r="C1042" s="220"/>
      <c r="D1042" s="147"/>
      <c r="E1042" s="98"/>
      <c r="F1042" s="98" t="s">
        <v>577</v>
      </c>
      <c r="G1042" s="377">
        <v>10</v>
      </c>
      <c r="H1042" s="377">
        <v>10</v>
      </c>
      <c r="I1042" s="53"/>
      <c r="J1042"/>
      <c r="K1042" s="46"/>
    </row>
    <row r="1043" spans="3:11" ht="13.5">
      <c r="C1043" s="220"/>
      <c r="D1043" s="147"/>
      <c r="E1043" s="98"/>
      <c r="F1043" s="98" t="s">
        <v>578</v>
      </c>
      <c r="G1043" s="378">
        <v>5000</v>
      </c>
      <c r="H1043" s="378">
        <v>5000</v>
      </c>
      <c r="I1043" s="53"/>
      <c r="J1043"/>
      <c r="K1043" s="46"/>
    </row>
    <row r="1044" spans="3:11" ht="13.5">
      <c r="C1044" s="220"/>
      <c r="D1044" s="147"/>
      <c r="E1044" s="98"/>
      <c r="F1044" s="98" t="s">
        <v>579</v>
      </c>
      <c r="G1044" s="379">
        <f>G1043*(G1038/100)</f>
        <v>75000</v>
      </c>
      <c r="H1044" s="379">
        <v>75000</v>
      </c>
      <c r="I1044" s="53"/>
      <c r="J1044"/>
      <c r="K1044" s="46"/>
    </row>
    <row r="1045" spans="3:11" ht="13.5">
      <c r="C1045" s="220"/>
      <c r="D1045" s="147"/>
      <c r="E1045" s="380"/>
      <c r="F1045" s="98" t="s">
        <v>580</v>
      </c>
      <c r="G1045" s="381">
        <f>(G1041/12)*(1+G1041/12)^(G1042*12)/((1+G1041/12)^(G1042*12)-1)</f>
        <v>0.0132150736881762</v>
      </c>
      <c r="H1045" s="382"/>
      <c r="I1045" s="53"/>
      <c r="J1045"/>
      <c r="K1045" s="46"/>
    </row>
    <row r="1046" spans="3:11" ht="13.5">
      <c r="C1046" s="220"/>
      <c r="D1046" s="147"/>
      <c r="E1046" s="380"/>
      <c r="F1046" s="98" t="s">
        <v>581</v>
      </c>
      <c r="G1046" s="383">
        <f>D1121</f>
        <v>1020.1014258890034</v>
      </c>
      <c r="H1046" s="382"/>
      <c r="I1046" s="53"/>
      <c r="J1046"/>
      <c r="K1046" s="46"/>
    </row>
    <row r="1047" spans="3:12" ht="13.5">
      <c r="C1047" s="220"/>
      <c r="D1047" s="147"/>
      <c r="E1047" s="380"/>
      <c r="F1047" s="98" t="s">
        <v>582</v>
      </c>
      <c r="G1047" s="379">
        <f>G1045*G1044</f>
        <v>991.130526613215</v>
      </c>
      <c r="H1047" s="382"/>
      <c r="I1047" s="53"/>
      <c r="J1047"/>
      <c r="K1047" s="38"/>
      <c r="L1047" s="38"/>
    </row>
    <row r="1048" spans="3:12" ht="13.5">
      <c r="C1048" s="220"/>
      <c r="D1048" s="147"/>
      <c r="E1048" s="380"/>
      <c r="F1048" s="98" t="s">
        <v>583</v>
      </c>
      <c r="G1048" s="379">
        <v>1.9</v>
      </c>
      <c r="H1048" s="382">
        <f>G18</f>
        <v>21.553</v>
      </c>
      <c r="I1048" s="392" t="s">
        <v>25</v>
      </c>
      <c r="J1048"/>
      <c r="K1048" s="38"/>
      <c r="L1048" s="38"/>
    </row>
    <row r="1049" spans="3:12" ht="19.5">
      <c r="C1049" s="220"/>
      <c r="D1049" s="147"/>
      <c r="E1049" s="380"/>
      <c r="F1049" s="98" t="s">
        <v>584</v>
      </c>
      <c r="G1049" s="384">
        <v>0.0015</v>
      </c>
      <c r="H1049" s="382"/>
      <c r="I1049" s="392" t="s">
        <v>585</v>
      </c>
      <c r="J1049"/>
      <c r="K1049" s="38"/>
      <c r="L1049" s="38"/>
    </row>
    <row r="1050" spans="3:12" ht="13.5">
      <c r="C1050" s="220"/>
      <c r="D1050" s="147"/>
      <c r="E1050" s="380"/>
      <c r="F1050" s="98" t="s">
        <v>586</v>
      </c>
      <c r="G1050" s="383">
        <f>E1120</f>
        <v>12600</v>
      </c>
      <c r="H1050" s="382"/>
      <c r="I1050" s="83"/>
      <c r="J1050"/>
      <c r="K1050" s="38"/>
      <c r="L1050" s="38"/>
    </row>
    <row r="1051" spans="3:12" ht="13.5">
      <c r="C1051" s="220"/>
      <c r="D1051" s="147"/>
      <c r="E1051" s="380"/>
      <c r="F1051" s="98" t="s">
        <v>58</v>
      </c>
      <c r="G1051" s="379">
        <f>G1047+G1048*G1050+G1049*G1050^2</f>
        <v>263071.1305266132</v>
      </c>
      <c r="H1051" s="382"/>
      <c r="I1051" s="53"/>
      <c r="J1051"/>
      <c r="K1051" s="38"/>
      <c r="L1051" s="38"/>
    </row>
    <row r="1052" spans="3:12" ht="13.5">
      <c r="C1052" s="220"/>
      <c r="D1052" s="147"/>
      <c r="E1052" s="380"/>
      <c r="F1052" s="98" t="s">
        <v>587</v>
      </c>
      <c r="G1052" s="379">
        <f>G1035*H1120</f>
        <v>318011.05002867646</v>
      </c>
      <c r="H1052" s="382"/>
      <c r="I1052" s="53"/>
      <c r="J1052"/>
      <c r="K1052" s="38"/>
      <c r="L1052" s="38"/>
    </row>
    <row r="1053" spans="3:12" ht="13.5">
      <c r="C1053" s="220"/>
      <c r="D1053" s="147"/>
      <c r="E1053" s="380"/>
      <c r="F1053" s="98" t="s">
        <v>405</v>
      </c>
      <c r="G1053" s="385">
        <f>G1052-G1051</f>
        <v>54939.91950206325</v>
      </c>
      <c r="H1053" s="382"/>
      <c r="I1053" s="53"/>
      <c r="J1053"/>
      <c r="K1053" s="38"/>
      <c r="L1053" s="38"/>
    </row>
    <row r="1054" spans="3:12" ht="13.5">
      <c r="C1054" s="220"/>
      <c r="D1054" s="147"/>
      <c r="E1054" s="380"/>
      <c r="F1054" s="98" t="s">
        <v>588</v>
      </c>
      <c r="G1054" s="385">
        <f>G1053/G1052</f>
        <v>0.17276103926926148</v>
      </c>
      <c r="H1054" s="382"/>
      <c r="I1054" s="53"/>
      <c r="J1054"/>
      <c r="K1054" s="38"/>
      <c r="L1054" s="38"/>
    </row>
    <row r="1055" spans="3:12" ht="15" thickBot="1">
      <c r="C1055" s="391"/>
      <c r="D1055" s="364"/>
      <c r="E1055" s="386"/>
      <c r="F1055" s="99" t="s">
        <v>589</v>
      </c>
      <c r="G1055" s="387">
        <f>G1053/G1044</f>
        <v>0.7325322600275099</v>
      </c>
      <c r="H1055" s="388"/>
      <c r="I1055" s="63"/>
      <c r="J1055"/>
      <c r="K1055" s="38"/>
      <c r="L1055" s="38"/>
    </row>
    <row r="1056" spans="2:12" ht="12.75">
      <c r="B1056"/>
      <c r="C1056"/>
      <c r="D1056"/>
      <c r="E1056"/>
      <c r="F1056"/>
      <c r="G1056"/>
      <c r="H1056"/>
      <c r="I1056"/>
      <c r="J1056"/>
      <c r="K1056" s="38"/>
      <c r="L1056" s="38"/>
    </row>
    <row r="1057" spans="2:12" ht="12.75">
      <c r="B1057"/>
      <c r="C1057"/>
      <c r="D1057"/>
      <c r="E1057"/>
      <c r="F1057"/>
      <c r="G1057"/>
      <c r="H1057"/>
      <c r="I1057"/>
      <c r="J1057"/>
      <c r="K1057" s="38"/>
      <c r="L1057" s="38"/>
    </row>
    <row r="1058" spans="2:12" ht="12.75">
      <c r="B1058"/>
      <c r="C1058"/>
      <c r="D1058"/>
      <c r="E1058"/>
      <c r="F1058"/>
      <c r="G1058"/>
      <c r="H1058"/>
      <c r="I1058"/>
      <c r="J1058" s="38"/>
      <c r="K1058" s="38"/>
      <c r="L1058" s="38"/>
    </row>
    <row r="1059" spans="3:12" ht="12">
      <c r="C1059" s="1"/>
      <c r="F1059" s="30"/>
      <c r="G1059" s="10"/>
      <c r="H1059" s="82"/>
      <c r="I1059" s="46"/>
      <c r="J1059" s="38"/>
      <c r="K1059" s="38"/>
      <c r="L1059" s="38"/>
    </row>
    <row r="1060" spans="2:12" ht="13.5">
      <c r="B1060" s="90" t="s">
        <v>590</v>
      </c>
      <c r="C1060"/>
      <c r="E1060" s="30"/>
      <c r="F1060" s="10"/>
      <c r="G1060" s="82"/>
      <c r="H1060" s="46"/>
      <c r="I1060" s="38"/>
      <c r="J1060" s="38"/>
      <c r="K1060" s="38"/>
      <c r="L1060" s="46"/>
    </row>
    <row r="1061" spans="2:12" ht="13.5">
      <c r="B1061" s="90" t="s">
        <v>591</v>
      </c>
      <c r="C1061"/>
      <c r="E1061" s="30"/>
      <c r="F1061" s="10"/>
      <c r="G1061" s="82"/>
      <c r="H1061" s="46"/>
      <c r="I1061" s="38"/>
      <c r="J1061" s="38"/>
      <c r="K1061" s="38"/>
      <c r="L1061" s="46"/>
    </row>
    <row r="1062" spans="2:12" ht="13.5">
      <c r="B1062" s="90" t="s">
        <v>631</v>
      </c>
      <c r="C1062"/>
      <c r="E1062" s="30"/>
      <c r="F1062" s="10"/>
      <c r="G1062" s="82"/>
      <c r="H1062" s="46"/>
      <c r="I1062" s="38"/>
      <c r="J1062" s="38"/>
      <c r="K1062" s="38"/>
      <c r="L1062" s="46"/>
    </row>
    <row r="1063" spans="2:12" ht="13.5">
      <c r="B1063" s="90" t="s">
        <v>632</v>
      </c>
      <c r="C1063"/>
      <c r="F1063" s="30"/>
      <c r="G1063" s="10"/>
      <c r="H1063" s="82"/>
      <c r="I1063" s="46"/>
      <c r="J1063" s="38"/>
      <c r="K1063" s="38"/>
      <c r="L1063" s="38"/>
    </row>
    <row r="1064" spans="3:12" ht="13.5">
      <c r="C1064" s="90"/>
      <c r="F1064" s="30"/>
      <c r="G1064" s="10"/>
      <c r="H1064" s="82"/>
      <c r="I1064" s="46"/>
      <c r="J1064" s="38"/>
      <c r="K1064" s="38"/>
      <c r="L1064" s="38"/>
    </row>
    <row r="1065" spans="3:12" ht="12">
      <c r="C1065" s="1"/>
      <c r="F1065" s="30"/>
      <c r="G1065" s="10"/>
      <c r="H1065" s="118"/>
      <c r="I1065" s="46"/>
      <c r="J1065" s="38"/>
      <c r="K1065" s="38"/>
      <c r="L1065" s="38"/>
    </row>
    <row r="1066" spans="3:12" ht="13.5">
      <c r="C1066" s="90"/>
      <c r="D1066" s="91"/>
      <c r="E1066" s="100"/>
      <c r="F1066" s="393" t="s">
        <v>633</v>
      </c>
      <c r="G1066" s="373"/>
      <c r="H1066" s="389"/>
      <c r="I1066" s="389"/>
      <c r="J1066"/>
      <c r="K1066"/>
      <c r="L1066" s="38"/>
    </row>
    <row r="1067" spans="1:12" ht="15" thickBot="1">
      <c r="A1067" s="11"/>
      <c r="C1067" s="90"/>
      <c r="D1067" s="91"/>
      <c r="E1067" s="100"/>
      <c r="F1067" s="394" t="s">
        <v>634</v>
      </c>
      <c r="G1067" s="373"/>
      <c r="H1067" s="389"/>
      <c r="I1067" s="389"/>
      <c r="J1067"/>
      <c r="K1067"/>
      <c r="L1067" s="38"/>
    </row>
    <row r="1068" spans="1:12" ht="13.5">
      <c r="A1068" s="11"/>
      <c r="C1068" s="90"/>
      <c r="D1068" s="254"/>
      <c r="E1068" s="187"/>
      <c r="F1068" s="395" t="s">
        <v>635</v>
      </c>
      <c r="G1068" s="330" t="s">
        <v>636</v>
      </c>
      <c r="H1068" s="396"/>
      <c r="I1068" s="373"/>
      <c r="J1068"/>
      <c r="K1068"/>
      <c r="L1068" s="38"/>
    </row>
    <row r="1069" spans="1:12" ht="13.5">
      <c r="A1069" s="11"/>
      <c r="C1069" s="90"/>
      <c r="D1069" s="255"/>
      <c r="E1069" s="147"/>
      <c r="F1069" s="397" t="s">
        <v>572</v>
      </c>
      <c r="G1069" s="398" t="s">
        <v>637</v>
      </c>
      <c r="H1069" s="396"/>
      <c r="I1069" s="373"/>
      <c r="J1069"/>
      <c r="K1069"/>
      <c r="L1069" s="38"/>
    </row>
    <row r="1070" spans="1:12" ht="13.5">
      <c r="A1070" s="11"/>
      <c r="C1070" s="90"/>
      <c r="D1070" s="255"/>
      <c r="E1070" s="380"/>
      <c r="F1070" s="98" t="s">
        <v>638</v>
      </c>
      <c r="G1070" s="399" t="s">
        <v>636</v>
      </c>
      <c r="H1070" s="373"/>
      <c r="I1070" s="389"/>
      <c r="J1070"/>
      <c r="K1070"/>
      <c r="L1070" s="38"/>
    </row>
    <row r="1071" spans="1:12" ht="13.5">
      <c r="A1071" s="11"/>
      <c r="C1071" s="90"/>
      <c r="D1071" s="255"/>
      <c r="E1071" s="380"/>
      <c r="F1071" s="98" t="s">
        <v>574</v>
      </c>
      <c r="G1071" s="399" t="s">
        <v>636</v>
      </c>
      <c r="H1071" s="373"/>
      <c r="I1071" s="389"/>
      <c r="J1071"/>
      <c r="K1071"/>
      <c r="L1071" s="38"/>
    </row>
    <row r="1072" spans="1:12" ht="13.5">
      <c r="A1072" s="11"/>
      <c r="C1072" s="90"/>
      <c r="D1072" s="255"/>
      <c r="E1072" s="380"/>
      <c r="F1072" s="98" t="s">
        <v>639</v>
      </c>
      <c r="G1072" s="399" t="s">
        <v>636</v>
      </c>
      <c r="H1072" s="373"/>
      <c r="I1072" s="389"/>
      <c r="J1072"/>
      <c r="K1072"/>
      <c r="L1072" s="38"/>
    </row>
    <row r="1073" spans="1:12" ht="13.5">
      <c r="A1073" s="11"/>
      <c r="C1073" s="90"/>
      <c r="D1073" s="255"/>
      <c r="E1073" s="380"/>
      <c r="F1073" s="98" t="s">
        <v>68</v>
      </c>
      <c r="G1073" s="399" t="s">
        <v>637</v>
      </c>
      <c r="H1073" s="373"/>
      <c r="I1073" s="389"/>
      <c r="J1073"/>
      <c r="K1073"/>
      <c r="L1073" s="38"/>
    </row>
    <row r="1074" spans="1:12" ht="13.5">
      <c r="A1074" s="11"/>
      <c r="C1074" s="90"/>
      <c r="D1074" s="255"/>
      <c r="E1074" s="380"/>
      <c r="F1074" s="98" t="s">
        <v>640</v>
      </c>
      <c r="G1074" s="399" t="s">
        <v>636</v>
      </c>
      <c r="H1074" s="373"/>
      <c r="I1074" s="389"/>
      <c r="J1074"/>
      <c r="K1074"/>
      <c r="L1074" s="38"/>
    </row>
    <row r="1075" spans="1:12" ht="15" thickBot="1">
      <c r="A1075" s="11"/>
      <c r="C1075" s="90"/>
      <c r="D1075" s="256"/>
      <c r="E1075" s="386"/>
      <c r="F1075" s="99" t="s">
        <v>641</v>
      </c>
      <c r="G1075" s="400" t="s">
        <v>636</v>
      </c>
      <c r="H1075" s="373"/>
      <c r="I1075" s="389"/>
      <c r="J1075"/>
      <c r="K1075"/>
      <c r="L1075" s="38"/>
    </row>
    <row r="1076" spans="1:12" ht="13.5">
      <c r="A1076" s="11"/>
      <c r="C1076" s="90"/>
      <c r="D1076" s="91"/>
      <c r="E1076" s="100"/>
      <c r="F1076" s="394"/>
      <c r="G1076" s="373"/>
      <c r="H1076" s="389"/>
      <c r="I1076" s="389"/>
      <c r="J1076"/>
      <c r="K1076"/>
      <c r="L1076" s="38"/>
    </row>
    <row r="1077" spans="1:12" ht="13.5">
      <c r="A1077" s="11"/>
      <c r="C1077" s="90"/>
      <c r="D1077" s="91"/>
      <c r="E1077" s="100"/>
      <c r="F1077" s="394"/>
      <c r="G1077" s="373"/>
      <c r="H1077" s="389"/>
      <c r="I1077" s="389"/>
      <c r="J1077"/>
      <c r="K1077"/>
      <c r="L1077" s="38"/>
    </row>
    <row r="1078" spans="1:12" ht="13.5">
      <c r="A1078" s="11"/>
      <c r="C1078" s="90"/>
      <c r="D1078" s="91"/>
      <c r="E1078" s="100"/>
      <c r="F1078" s="394"/>
      <c r="G1078" s="373"/>
      <c r="H1078" s="389"/>
      <c r="I1078" s="389"/>
      <c r="J1078"/>
      <c r="K1078"/>
      <c r="L1078" s="38"/>
    </row>
    <row r="1079" spans="1:12" ht="13.5">
      <c r="A1079" s="11"/>
      <c r="C1079" s="90"/>
      <c r="D1079" s="91"/>
      <c r="E1079" s="100"/>
      <c r="F1079" s="394"/>
      <c r="G1079" s="373"/>
      <c r="H1079" s="389"/>
      <c r="I1079" s="389"/>
      <c r="J1079"/>
      <c r="K1079"/>
      <c r="L1079" s="38"/>
    </row>
    <row r="1080" spans="1:12" ht="13.5">
      <c r="A1080" s="11"/>
      <c r="C1080" s="90"/>
      <c r="D1080" s="91"/>
      <c r="E1080" s="100"/>
      <c r="F1080" s="394"/>
      <c r="G1080" s="373"/>
      <c r="H1080" s="389"/>
      <c r="I1080" s="389"/>
      <c r="J1080"/>
      <c r="K1080"/>
      <c r="L1080" s="38"/>
    </row>
    <row r="1081" spans="1:12" ht="13.5">
      <c r="A1081" s="11"/>
      <c r="C1081" s="90"/>
      <c r="D1081" s="91"/>
      <c r="E1081" s="100"/>
      <c r="F1081" s="394"/>
      <c r="G1081" s="373"/>
      <c r="H1081" s="389"/>
      <c r="I1081" s="389"/>
      <c r="J1081"/>
      <c r="K1081"/>
      <c r="L1081" s="38"/>
    </row>
    <row r="1082" spans="1:12" ht="13.5">
      <c r="A1082" s="11"/>
      <c r="C1082" s="90"/>
      <c r="D1082" s="91"/>
      <c r="E1082" s="100"/>
      <c r="F1082" s="394"/>
      <c r="G1082" s="373"/>
      <c r="H1082" s="389"/>
      <c r="I1082" s="389"/>
      <c r="J1082"/>
      <c r="K1082"/>
      <c r="L1082" s="38"/>
    </row>
    <row r="1083" spans="1:12" ht="13.5">
      <c r="A1083" s="11"/>
      <c r="C1083" s="90"/>
      <c r="D1083" s="91"/>
      <c r="E1083" s="100"/>
      <c r="F1083" s="394"/>
      <c r="G1083" s="373"/>
      <c r="H1083" s="389"/>
      <c r="I1083" s="389"/>
      <c r="J1083"/>
      <c r="K1083"/>
      <c r="L1083" s="38"/>
    </row>
    <row r="1084" spans="1:12" ht="13.5">
      <c r="A1084" s="11"/>
      <c r="C1084" s="91"/>
      <c r="D1084" s="98"/>
      <c r="E1084" s="389"/>
      <c r="F1084" s="389" t="s">
        <v>642</v>
      </c>
      <c r="G1084" s="389"/>
      <c r="H1084" s="389"/>
      <c r="I1084" s="373"/>
      <c r="J1084"/>
      <c r="K1084"/>
      <c r="L1084" s="38"/>
    </row>
    <row r="1085" spans="1:12" ht="13.5">
      <c r="A1085" s="11"/>
      <c r="C1085" s="91"/>
      <c r="D1085" s="98"/>
      <c r="E1085" s="389"/>
      <c r="F1085" s="389" t="s">
        <v>643</v>
      </c>
      <c r="G1085" s="389"/>
      <c r="H1085" s="389"/>
      <c r="I1085" s="373"/>
      <c r="J1085"/>
      <c r="K1085"/>
      <c r="L1085" s="38"/>
    </row>
    <row r="1086" spans="1:12" ht="15" thickBot="1">
      <c r="A1086" s="11"/>
      <c r="C1086" s="91"/>
      <c r="D1086" s="90"/>
      <c r="E1086" s="98"/>
      <c r="F1086" s="389"/>
      <c r="G1086" s="389"/>
      <c r="H1086" s="389"/>
      <c r="I1086" s="389"/>
      <c r="J1086"/>
      <c r="K1086"/>
      <c r="L1086" s="38"/>
    </row>
    <row r="1087" spans="1:12" ht="13.5">
      <c r="A1087" s="11"/>
      <c r="B1087" s="2"/>
      <c r="C1087" s="401" t="s">
        <v>479</v>
      </c>
      <c r="D1087" s="361" t="s">
        <v>404</v>
      </c>
      <c r="E1087" s="402" t="s">
        <v>644</v>
      </c>
      <c r="F1087" s="403" t="s">
        <v>645</v>
      </c>
      <c r="G1087" s="404" t="s">
        <v>646</v>
      </c>
      <c r="H1087" s="404" t="s">
        <v>647</v>
      </c>
      <c r="I1087" s="269" t="s">
        <v>648</v>
      </c>
      <c r="J1087"/>
      <c r="K1087"/>
      <c r="L1087" s="38"/>
    </row>
    <row r="1088" spans="1:11" ht="13.5">
      <c r="A1088" s="11"/>
      <c r="B1088" s="2"/>
      <c r="C1088" s="432"/>
      <c r="D1088" s="433"/>
      <c r="E1088" s="98"/>
      <c r="F1088" s="434"/>
      <c r="G1088" s="389" t="s">
        <v>649</v>
      </c>
      <c r="H1088" s="389"/>
      <c r="I1088" s="435"/>
      <c r="J1088"/>
      <c r="K1088"/>
    </row>
    <row r="1089" spans="1:11" ht="15" thickBot="1">
      <c r="A1089" s="11"/>
      <c r="B1089" s="2"/>
      <c r="C1089" s="405"/>
      <c r="D1089" s="270"/>
      <c r="E1089" s="99"/>
      <c r="F1089" s="406"/>
      <c r="G1089" s="407" t="s">
        <v>650</v>
      </c>
      <c r="H1089" s="407"/>
      <c r="I1089" s="408"/>
      <c r="J1089"/>
      <c r="K1089"/>
    </row>
    <row r="1090" spans="1:12" ht="13.5">
      <c r="A1090" s="11"/>
      <c r="B1090" s="11"/>
      <c r="C1090" s="409">
        <v>1</v>
      </c>
      <c r="D1090" s="410">
        <f>G1040</f>
        <v>500</v>
      </c>
      <c r="E1090" s="411">
        <v>0</v>
      </c>
      <c r="F1090" s="412">
        <f aca="true" ca="1" t="shared" si="35" ref="F1090:F1119">RAND()</f>
        <v>0.6804825103981784</v>
      </c>
      <c r="G1090" s="410">
        <f aca="true" t="shared" si="36" ref="G1090:G1119">F1090*1000</f>
        <v>680.4825103981784</v>
      </c>
      <c r="H1090" s="410">
        <f aca="true" t="shared" si="37" ref="H1090:H1119">IF((G1090&lt;D1090),G1090,D1090)</f>
        <v>500</v>
      </c>
      <c r="I1090" s="413">
        <f aca="true" t="shared" si="38" ref="I1090:I1119">G1090-H1090</f>
        <v>180.48251039817842</v>
      </c>
      <c r="J1090"/>
      <c r="K1090"/>
      <c r="L1090" s="46"/>
    </row>
    <row r="1091" spans="1:12" ht="13.5">
      <c r="A1091" s="11"/>
      <c r="B1091" s="11"/>
      <c r="C1091" s="409">
        <v>2</v>
      </c>
      <c r="D1091" s="410">
        <f aca="true" t="shared" si="39" ref="D1091:D1119">IF(D1090-H1090+E1091&gt;0,(D1090-H1090+E1091),0)</f>
        <v>600</v>
      </c>
      <c r="E1091" s="411">
        <f aca="true" t="shared" si="40" ref="E1091:E1119">IF((G1090/D1090)&gt;$G$1037,$G$1036,0)</f>
        <v>600</v>
      </c>
      <c r="F1091" s="412">
        <f ca="1" t="shared" si="35"/>
        <v>0.23006162051024148</v>
      </c>
      <c r="G1091" s="410">
        <f t="shared" si="36"/>
        <v>230.06162051024148</v>
      </c>
      <c r="H1091" s="410">
        <f t="shared" si="37"/>
        <v>230.06162051024148</v>
      </c>
      <c r="I1091" s="413">
        <f t="shared" si="38"/>
        <v>0</v>
      </c>
      <c r="J1091"/>
      <c r="K1091"/>
      <c r="L1091" s="36"/>
    </row>
    <row r="1092" spans="1:12" ht="13.5">
      <c r="A1092" s="11"/>
      <c r="B1092" s="11"/>
      <c r="C1092" s="409">
        <v>3</v>
      </c>
      <c r="D1092" s="410">
        <f t="shared" si="39"/>
        <v>969.9383794897585</v>
      </c>
      <c r="E1092" s="411">
        <f t="shared" si="40"/>
        <v>600</v>
      </c>
      <c r="F1092" s="412">
        <f ca="1" t="shared" si="35"/>
        <v>0.6465020310815817</v>
      </c>
      <c r="G1092" s="410">
        <f t="shared" si="36"/>
        <v>646.5020310815817</v>
      </c>
      <c r="H1092" s="410">
        <f t="shared" si="37"/>
        <v>646.5020310815817</v>
      </c>
      <c r="I1092" s="413">
        <f t="shared" si="38"/>
        <v>0</v>
      </c>
      <c r="J1092"/>
      <c r="K1092"/>
      <c r="L1092" s="36"/>
    </row>
    <row r="1093" spans="1:12" ht="13.5">
      <c r="A1093" s="11"/>
      <c r="B1093" s="11"/>
      <c r="C1093" s="409">
        <v>4</v>
      </c>
      <c r="D1093" s="410">
        <f t="shared" si="39"/>
        <v>923.4363484081769</v>
      </c>
      <c r="E1093" s="411">
        <f t="shared" si="40"/>
        <v>600</v>
      </c>
      <c r="F1093" s="412">
        <f ca="1" t="shared" si="35"/>
        <v>0.507774252213494</v>
      </c>
      <c r="G1093" s="410">
        <f t="shared" si="36"/>
        <v>507.77425221349404</v>
      </c>
      <c r="H1093" s="410">
        <f t="shared" si="37"/>
        <v>507.77425221349404</v>
      </c>
      <c r="I1093" s="413">
        <f t="shared" si="38"/>
        <v>0</v>
      </c>
      <c r="J1093"/>
      <c r="K1093"/>
      <c r="L1093" s="36"/>
    </row>
    <row r="1094" spans="1:12" ht="13.5">
      <c r="A1094" s="11"/>
      <c r="B1094" s="11"/>
      <c r="C1094" s="409">
        <v>5</v>
      </c>
      <c r="D1094" s="410">
        <f t="shared" si="39"/>
        <v>1015.6620961946828</v>
      </c>
      <c r="E1094" s="411">
        <f t="shared" si="40"/>
        <v>600</v>
      </c>
      <c r="F1094" s="412">
        <f ca="1" t="shared" si="35"/>
        <v>0.26365868091306766</v>
      </c>
      <c r="G1094" s="410">
        <f t="shared" si="36"/>
        <v>263.65868091306766</v>
      </c>
      <c r="H1094" s="410">
        <f t="shared" si="37"/>
        <v>263.65868091306766</v>
      </c>
      <c r="I1094" s="413">
        <f t="shared" si="38"/>
        <v>0</v>
      </c>
      <c r="J1094"/>
      <c r="K1094"/>
      <c r="L1094" s="11"/>
    </row>
    <row r="1095" spans="1:12" ht="13.5">
      <c r="A1095" s="11"/>
      <c r="B1095" s="11"/>
      <c r="C1095" s="409">
        <v>6</v>
      </c>
      <c r="D1095" s="410">
        <f t="shared" si="39"/>
        <v>1352.0034152816152</v>
      </c>
      <c r="E1095" s="411">
        <f t="shared" si="40"/>
        <v>600</v>
      </c>
      <c r="F1095" s="412">
        <f ca="1" t="shared" si="35"/>
        <v>0.06225798872492305</v>
      </c>
      <c r="G1095" s="410">
        <f t="shared" si="36"/>
        <v>62.25798872492305</v>
      </c>
      <c r="H1095" s="410">
        <f t="shared" si="37"/>
        <v>62.25798872492305</v>
      </c>
      <c r="I1095" s="413">
        <f t="shared" si="38"/>
        <v>0</v>
      </c>
      <c r="J1095"/>
      <c r="K1095"/>
      <c r="L1095" s="11"/>
    </row>
    <row r="1096" spans="1:12" ht="13.5">
      <c r="A1096" s="11"/>
      <c r="B1096" s="11"/>
      <c r="C1096" s="409">
        <v>7</v>
      </c>
      <c r="D1096" s="410">
        <f t="shared" si="39"/>
        <v>1289.745426556692</v>
      </c>
      <c r="E1096" s="411">
        <f t="shared" si="40"/>
        <v>0</v>
      </c>
      <c r="F1096" s="412">
        <f ca="1" t="shared" si="35"/>
        <v>0.6470342674692802</v>
      </c>
      <c r="G1096" s="410">
        <f t="shared" si="36"/>
        <v>647.0342674692802</v>
      </c>
      <c r="H1096" s="410">
        <f t="shared" si="37"/>
        <v>647.0342674692802</v>
      </c>
      <c r="I1096" s="413">
        <f t="shared" si="38"/>
        <v>0</v>
      </c>
      <c r="J1096"/>
      <c r="K1096"/>
      <c r="L1096" s="11"/>
    </row>
    <row r="1097" spans="1:12" ht="13.5">
      <c r="A1097" s="11"/>
      <c r="B1097" s="11"/>
      <c r="C1097" s="409">
        <v>8</v>
      </c>
      <c r="D1097" s="410">
        <f t="shared" si="39"/>
        <v>1242.711159087412</v>
      </c>
      <c r="E1097" s="411">
        <f t="shared" si="40"/>
        <v>600</v>
      </c>
      <c r="F1097" s="412">
        <f ca="1" t="shared" si="35"/>
        <v>0.7348678158004986</v>
      </c>
      <c r="G1097" s="410">
        <f t="shared" si="36"/>
        <v>734.8678158004986</v>
      </c>
      <c r="H1097" s="410">
        <f t="shared" si="37"/>
        <v>734.8678158004986</v>
      </c>
      <c r="I1097" s="413">
        <f t="shared" si="38"/>
        <v>0</v>
      </c>
      <c r="J1097"/>
      <c r="K1097"/>
      <c r="L1097" s="11"/>
    </row>
    <row r="1098" spans="1:12" ht="13.5">
      <c r="A1098" s="11"/>
      <c r="B1098" s="11"/>
      <c r="C1098" s="409">
        <v>9</v>
      </c>
      <c r="D1098" s="410">
        <f t="shared" si="39"/>
        <v>1107.8433432869133</v>
      </c>
      <c r="E1098" s="411">
        <f t="shared" si="40"/>
        <v>600</v>
      </c>
      <c r="F1098" s="412">
        <f ca="1" t="shared" si="35"/>
        <v>0.3481459766971966</v>
      </c>
      <c r="G1098" s="410">
        <f t="shared" si="36"/>
        <v>348.1459766971966</v>
      </c>
      <c r="H1098" s="410">
        <f t="shared" si="37"/>
        <v>348.1459766971966</v>
      </c>
      <c r="I1098" s="413">
        <f t="shared" si="38"/>
        <v>0</v>
      </c>
      <c r="J1098"/>
      <c r="K1098"/>
      <c r="L1098" s="11"/>
    </row>
    <row r="1099" spans="1:12" ht="13.5">
      <c r="A1099" s="11"/>
      <c r="B1099" s="11"/>
      <c r="C1099" s="409">
        <v>10</v>
      </c>
      <c r="D1099" s="410">
        <f t="shared" si="39"/>
        <v>1359.6973665897167</v>
      </c>
      <c r="E1099" s="411">
        <f t="shared" si="40"/>
        <v>600</v>
      </c>
      <c r="F1099" s="412">
        <f ca="1" t="shared" si="35"/>
        <v>0.3529641431678101</v>
      </c>
      <c r="G1099" s="410">
        <f t="shared" si="36"/>
        <v>352.9641431678101</v>
      </c>
      <c r="H1099" s="410">
        <f t="shared" si="37"/>
        <v>352.9641431678101</v>
      </c>
      <c r="I1099" s="413">
        <f t="shared" si="38"/>
        <v>0</v>
      </c>
      <c r="J1099"/>
      <c r="K1099"/>
      <c r="L1099" s="11"/>
    </row>
    <row r="1100" spans="1:12" ht="13.5">
      <c r="A1100" s="11"/>
      <c r="B1100" s="11"/>
      <c r="C1100" s="409">
        <v>11</v>
      </c>
      <c r="D1100" s="410">
        <f t="shared" si="39"/>
        <v>1606.7332234219066</v>
      </c>
      <c r="E1100" s="411">
        <f t="shared" si="40"/>
        <v>600</v>
      </c>
      <c r="F1100" s="412">
        <f ca="1" t="shared" si="35"/>
        <v>0.6721770510630449</v>
      </c>
      <c r="G1100" s="410">
        <f t="shared" si="36"/>
        <v>672.1770510630449</v>
      </c>
      <c r="H1100" s="410">
        <f t="shared" si="37"/>
        <v>672.1770510630449</v>
      </c>
      <c r="I1100" s="413">
        <f t="shared" si="38"/>
        <v>0</v>
      </c>
      <c r="J1100"/>
      <c r="K1100"/>
      <c r="L1100" s="11"/>
    </row>
    <row r="1101" spans="1:12" ht="13.5">
      <c r="A1101" s="11"/>
      <c r="B1101" s="11"/>
      <c r="C1101" s="409">
        <v>12</v>
      </c>
      <c r="D1101" s="410">
        <f t="shared" si="39"/>
        <v>1534.5561723588617</v>
      </c>
      <c r="E1101" s="411">
        <f t="shared" si="40"/>
        <v>600</v>
      </c>
      <c r="F1101" s="412">
        <f ca="1" t="shared" si="35"/>
        <v>0.662145490164221</v>
      </c>
      <c r="G1101" s="410">
        <f t="shared" si="36"/>
        <v>662.145490164221</v>
      </c>
      <c r="H1101" s="410">
        <f t="shared" si="37"/>
        <v>662.145490164221</v>
      </c>
      <c r="I1101" s="413">
        <f t="shared" si="38"/>
        <v>0</v>
      </c>
      <c r="J1101"/>
      <c r="K1101"/>
      <c r="L1101" s="11"/>
    </row>
    <row r="1102" spans="1:12" ht="13.5">
      <c r="A1102" s="11"/>
      <c r="B1102" s="11"/>
      <c r="C1102" s="409">
        <v>13</v>
      </c>
      <c r="D1102" s="410">
        <f t="shared" si="39"/>
        <v>1472.4106821946407</v>
      </c>
      <c r="E1102" s="411">
        <f t="shared" si="40"/>
        <v>600</v>
      </c>
      <c r="F1102" s="412">
        <f ca="1" t="shared" si="35"/>
        <v>0.14218590281416255</v>
      </c>
      <c r="G1102" s="410">
        <f t="shared" si="36"/>
        <v>142.18590281416255</v>
      </c>
      <c r="H1102" s="410">
        <f t="shared" si="37"/>
        <v>142.18590281416255</v>
      </c>
      <c r="I1102" s="413">
        <f t="shared" si="38"/>
        <v>0</v>
      </c>
      <c r="J1102"/>
      <c r="K1102"/>
      <c r="L1102" s="11"/>
    </row>
    <row r="1103" spans="1:12" ht="13.5">
      <c r="A1103" s="11"/>
      <c r="B1103" s="11"/>
      <c r="C1103" s="409">
        <v>14</v>
      </c>
      <c r="D1103" s="410">
        <f t="shared" si="39"/>
        <v>1330.2247793804781</v>
      </c>
      <c r="E1103" s="411">
        <f t="shared" si="40"/>
        <v>0</v>
      </c>
      <c r="F1103" s="412">
        <f ca="1" t="shared" si="35"/>
        <v>0.6190785378903456</v>
      </c>
      <c r="G1103" s="410">
        <f t="shared" si="36"/>
        <v>619.0785378903456</v>
      </c>
      <c r="H1103" s="410">
        <f t="shared" si="37"/>
        <v>619.0785378903456</v>
      </c>
      <c r="I1103" s="413">
        <f t="shared" si="38"/>
        <v>0</v>
      </c>
      <c r="J1103"/>
      <c r="K1103"/>
      <c r="L1103" s="11"/>
    </row>
    <row r="1104" spans="1:12" ht="13.5">
      <c r="A1104" s="11"/>
      <c r="B1104" s="11"/>
      <c r="C1104" s="409">
        <v>15</v>
      </c>
      <c r="D1104" s="410">
        <f t="shared" si="39"/>
        <v>1311.1462414901325</v>
      </c>
      <c r="E1104" s="411">
        <f t="shared" si="40"/>
        <v>600</v>
      </c>
      <c r="F1104" s="412">
        <f ca="1" t="shared" si="35"/>
        <v>0.18164762108426658</v>
      </c>
      <c r="G1104" s="410">
        <f t="shared" si="36"/>
        <v>181.64762108426658</v>
      </c>
      <c r="H1104" s="410">
        <f t="shared" si="37"/>
        <v>181.64762108426658</v>
      </c>
      <c r="I1104" s="413">
        <f t="shared" si="38"/>
        <v>0</v>
      </c>
      <c r="J1104"/>
      <c r="K1104"/>
      <c r="L1104" s="11"/>
    </row>
    <row r="1105" spans="1:12" ht="13.5">
      <c r="A1105" s="11"/>
      <c r="B1105" s="11"/>
      <c r="C1105" s="409">
        <v>16</v>
      </c>
      <c r="D1105" s="410">
        <f t="shared" si="39"/>
        <v>1129.498620405866</v>
      </c>
      <c r="E1105" s="411">
        <f t="shared" si="40"/>
        <v>0</v>
      </c>
      <c r="F1105" s="412">
        <f ca="1" t="shared" si="35"/>
        <v>0.17261366858201654</v>
      </c>
      <c r="G1105" s="410">
        <f t="shared" si="36"/>
        <v>172.61366858201654</v>
      </c>
      <c r="H1105" s="410">
        <f t="shared" si="37"/>
        <v>172.61366858201654</v>
      </c>
      <c r="I1105" s="413">
        <f t="shared" si="38"/>
        <v>0</v>
      </c>
      <c r="J1105"/>
      <c r="K1105"/>
      <c r="L1105" s="11"/>
    </row>
    <row r="1106" spans="1:12" ht="13.5">
      <c r="A1106" s="11"/>
      <c r="B1106" s="11"/>
      <c r="C1106" s="409">
        <v>17</v>
      </c>
      <c r="D1106" s="410">
        <f t="shared" si="39"/>
        <v>956.8849518238494</v>
      </c>
      <c r="E1106" s="411">
        <f t="shared" si="40"/>
        <v>0</v>
      </c>
      <c r="F1106" s="412">
        <f ca="1" t="shared" si="35"/>
        <v>0.4501661439844611</v>
      </c>
      <c r="G1106" s="410">
        <f t="shared" si="36"/>
        <v>450.1661439844611</v>
      </c>
      <c r="H1106" s="410">
        <f t="shared" si="37"/>
        <v>450.1661439844611</v>
      </c>
      <c r="I1106" s="413">
        <f t="shared" si="38"/>
        <v>0</v>
      </c>
      <c r="J1106"/>
      <c r="K1106"/>
      <c r="L1106" s="11"/>
    </row>
    <row r="1107" spans="1:12" ht="13.5">
      <c r="A1107" s="11"/>
      <c r="B1107" s="11"/>
      <c r="C1107" s="409">
        <v>18</v>
      </c>
      <c r="D1107" s="410">
        <f t="shared" si="39"/>
        <v>1106.7188078393883</v>
      </c>
      <c r="E1107" s="411">
        <f t="shared" si="40"/>
        <v>600</v>
      </c>
      <c r="F1107" s="412">
        <f ca="1" t="shared" si="35"/>
        <v>0.29302707139231643</v>
      </c>
      <c r="G1107" s="410">
        <f t="shared" si="36"/>
        <v>293.02707139231643</v>
      </c>
      <c r="H1107" s="410">
        <f t="shared" si="37"/>
        <v>293.02707139231643</v>
      </c>
      <c r="I1107" s="413">
        <f t="shared" si="38"/>
        <v>0</v>
      </c>
      <c r="J1107"/>
      <c r="K1107"/>
      <c r="L1107" s="11"/>
    </row>
    <row r="1108" spans="1:12" ht="13.5">
      <c r="A1108" s="11"/>
      <c r="B1108" s="11"/>
      <c r="C1108" s="409">
        <v>19</v>
      </c>
      <c r="D1108" s="410">
        <f t="shared" si="39"/>
        <v>1413.691736447072</v>
      </c>
      <c r="E1108" s="411">
        <f t="shared" si="40"/>
        <v>600</v>
      </c>
      <c r="F1108" s="412">
        <f ca="1" t="shared" si="35"/>
        <v>0.030195143939636182</v>
      </c>
      <c r="G1108" s="410">
        <f t="shared" si="36"/>
        <v>30.195143939636182</v>
      </c>
      <c r="H1108" s="410">
        <f t="shared" si="37"/>
        <v>30.195143939636182</v>
      </c>
      <c r="I1108" s="413">
        <f t="shared" si="38"/>
        <v>0</v>
      </c>
      <c r="J1108"/>
      <c r="K1108"/>
      <c r="L1108" s="11"/>
    </row>
    <row r="1109" spans="1:12" ht="13.5">
      <c r="A1109" s="11"/>
      <c r="B1109" s="11"/>
      <c r="C1109" s="409">
        <v>20</v>
      </c>
      <c r="D1109" s="410">
        <f t="shared" si="39"/>
        <v>1383.4965925074357</v>
      </c>
      <c r="E1109" s="411">
        <f t="shared" si="40"/>
        <v>0</v>
      </c>
      <c r="F1109" s="412">
        <f ca="1" t="shared" si="35"/>
        <v>0.7578356311669268</v>
      </c>
      <c r="G1109" s="410">
        <f t="shared" si="36"/>
        <v>757.8356311669268</v>
      </c>
      <c r="H1109" s="410">
        <f t="shared" si="37"/>
        <v>757.8356311669268</v>
      </c>
      <c r="I1109" s="413">
        <f t="shared" si="38"/>
        <v>0</v>
      </c>
      <c r="J1109"/>
      <c r="K1109"/>
      <c r="L1109" s="11"/>
    </row>
    <row r="1110" spans="1:12" ht="13.5">
      <c r="A1110" s="11"/>
      <c r="B1110" s="11"/>
      <c r="C1110" s="409">
        <v>21</v>
      </c>
      <c r="D1110" s="410">
        <f t="shared" si="39"/>
        <v>1225.660961340509</v>
      </c>
      <c r="E1110" s="411">
        <f t="shared" si="40"/>
        <v>600</v>
      </c>
      <c r="F1110" s="412">
        <f ca="1" t="shared" si="35"/>
        <v>0.9150606903876906</v>
      </c>
      <c r="G1110" s="410">
        <f t="shared" si="36"/>
        <v>915.0606903876906</v>
      </c>
      <c r="H1110" s="410">
        <f t="shared" si="37"/>
        <v>915.0606903876906</v>
      </c>
      <c r="I1110" s="413">
        <f t="shared" si="38"/>
        <v>0</v>
      </c>
      <c r="J1110"/>
      <c r="K1110"/>
      <c r="L1110" s="11"/>
    </row>
    <row r="1111" spans="2:12" ht="13.5">
      <c r="B1111" s="11"/>
      <c r="C1111" s="409">
        <v>22</v>
      </c>
      <c r="D1111" s="410">
        <f t="shared" si="39"/>
        <v>910.6002709528184</v>
      </c>
      <c r="E1111" s="411">
        <f t="shared" si="40"/>
        <v>600</v>
      </c>
      <c r="F1111" s="412">
        <f ca="1" t="shared" si="35"/>
        <v>0.02236729750984523</v>
      </c>
      <c r="G1111" s="410">
        <f t="shared" si="36"/>
        <v>22.36729750984523</v>
      </c>
      <c r="H1111" s="410">
        <f t="shared" si="37"/>
        <v>22.36729750984523</v>
      </c>
      <c r="I1111" s="413">
        <f t="shared" si="38"/>
        <v>0</v>
      </c>
      <c r="J1111"/>
      <c r="K1111"/>
      <c r="L1111" s="11"/>
    </row>
    <row r="1112" spans="2:12" ht="13.5">
      <c r="B1112" s="11"/>
      <c r="C1112" s="409">
        <v>23</v>
      </c>
      <c r="D1112" s="410">
        <f t="shared" si="39"/>
        <v>888.2329734429732</v>
      </c>
      <c r="E1112" s="411">
        <f t="shared" si="40"/>
        <v>0</v>
      </c>
      <c r="F1112" s="412">
        <f ca="1" t="shared" si="35"/>
        <v>0.8805558441900132</v>
      </c>
      <c r="G1112" s="410">
        <f t="shared" si="36"/>
        <v>880.5558441900132</v>
      </c>
      <c r="H1112" s="410">
        <f t="shared" si="37"/>
        <v>880.5558441900132</v>
      </c>
      <c r="I1112" s="413">
        <f t="shared" si="38"/>
        <v>0</v>
      </c>
      <c r="J1112"/>
      <c r="K1112"/>
      <c r="L1112" s="11"/>
    </row>
    <row r="1113" spans="2:12" ht="13.5">
      <c r="B1113" s="11"/>
      <c r="C1113" s="409">
        <v>24</v>
      </c>
      <c r="D1113" s="410">
        <f t="shared" si="39"/>
        <v>607.67712925296</v>
      </c>
      <c r="E1113" s="411">
        <f t="shared" si="40"/>
        <v>600</v>
      </c>
      <c r="F1113" s="412">
        <f ca="1" t="shared" si="35"/>
        <v>0.15027279012065264</v>
      </c>
      <c r="G1113" s="410">
        <f t="shared" si="36"/>
        <v>150.27279012065264</v>
      </c>
      <c r="H1113" s="410">
        <f t="shared" si="37"/>
        <v>150.27279012065264</v>
      </c>
      <c r="I1113" s="413">
        <f t="shared" si="38"/>
        <v>0</v>
      </c>
      <c r="J1113"/>
      <c r="K1113"/>
      <c r="L1113" s="11"/>
    </row>
    <row r="1114" spans="2:12" ht="13.5">
      <c r="B1114" s="11"/>
      <c r="C1114" s="409">
        <v>25</v>
      </c>
      <c r="D1114" s="410">
        <f t="shared" si="39"/>
        <v>457.4043391323073</v>
      </c>
      <c r="E1114" s="411">
        <f t="shared" si="40"/>
        <v>0</v>
      </c>
      <c r="F1114" s="412">
        <f ca="1" t="shared" si="35"/>
        <v>0.04039877492959931</v>
      </c>
      <c r="G1114" s="410">
        <f t="shared" si="36"/>
        <v>40.39877492959931</v>
      </c>
      <c r="H1114" s="410">
        <f t="shared" si="37"/>
        <v>40.39877492959931</v>
      </c>
      <c r="I1114" s="413">
        <f t="shared" si="38"/>
        <v>0</v>
      </c>
      <c r="J1114"/>
      <c r="K1114"/>
      <c r="L1114" s="11"/>
    </row>
    <row r="1115" spans="2:12" ht="13.5">
      <c r="B1115" s="11"/>
      <c r="C1115" s="409">
        <v>26</v>
      </c>
      <c r="D1115" s="410">
        <f t="shared" si="39"/>
        <v>417.005564202708</v>
      </c>
      <c r="E1115" s="411">
        <f t="shared" si="40"/>
        <v>0</v>
      </c>
      <c r="F1115" s="412">
        <f ca="1" t="shared" si="35"/>
        <v>0.967695583594832</v>
      </c>
      <c r="G1115" s="410">
        <f t="shared" si="36"/>
        <v>967.695583594832</v>
      </c>
      <c r="H1115" s="410">
        <f t="shared" si="37"/>
        <v>417.005564202708</v>
      </c>
      <c r="I1115" s="413">
        <f t="shared" si="38"/>
        <v>550.690019392124</v>
      </c>
      <c r="J1115"/>
      <c r="K1115"/>
      <c r="L1115" s="11"/>
    </row>
    <row r="1116" spans="2:12" ht="13.5">
      <c r="B1116" s="11"/>
      <c r="C1116" s="409">
        <v>27</v>
      </c>
      <c r="D1116" s="410">
        <f t="shared" si="39"/>
        <v>600</v>
      </c>
      <c r="E1116" s="411">
        <f t="shared" si="40"/>
        <v>600</v>
      </c>
      <c r="F1116" s="412">
        <f ca="1" t="shared" si="35"/>
        <v>0.9496534848458396</v>
      </c>
      <c r="G1116" s="410">
        <f t="shared" si="36"/>
        <v>949.6534848458396</v>
      </c>
      <c r="H1116" s="410">
        <f t="shared" si="37"/>
        <v>600</v>
      </c>
      <c r="I1116" s="413">
        <f t="shared" si="38"/>
        <v>349.65348484583956</v>
      </c>
      <c r="J1116"/>
      <c r="K1116"/>
      <c r="L1116" s="11"/>
    </row>
    <row r="1117" spans="2:12" ht="13.5">
      <c r="B1117" s="11"/>
      <c r="C1117" s="409">
        <v>28</v>
      </c>
      <c r="D1117" s="410">
        <f t="shared" si="39"/>
        <v>600</v>
      </c>
      <c r="E1117" s="411">
        <f t="shared" si="40"/>
        <v>600</v>
      </c>
      <c r="F1117" s="412">
        <f ca="1" t="shared" si="35"/>
        <v>0.7582016709911841</v>
      </c>
      <c r="G1117" s="410">
        <f t="shared" si="36"/>
        <v>758.2016709911841</v>
      </c>
      <c r="H1117" s="410">
        <f t="shared" si="37"/>
        <v>600</v>
      </c>
      <c r="I1117" s="413">
        <f t="shared" si="38"/>
        <v>158.20167099118407</v>
      </c>
      <c r="J1117"/>
      <c r="K1117"/>
      <c r="L1117" s="11"/>
    </row>
    <row r="1118" spans="2:12" ht="13.5">
      <c r="B1118" s="11"/>
      <c r="C1118" s="409">
        <v>29</v>
      </c>
      <c r="D1118" s="410">
        <f t="shared" si="39"/>
        <v>600</v>
      </c>
      <c r="E1118" s="411">
        <f t="shared" si="40"/>
        <v>600</v>
      </c>
      <c r="F1118" s="412">
        <f ca="1" t="shared" si="35"/>
        <v>0.5099378044187688</v>
      </c>
      <c r="G1118" s="410">
        <f t="shared" si="36"/>
        <v>509.9378044187688</v>
      </c>
      <c r="H1118" s="410">
        <f t="shared" si="37"/>
        <v>509.9378044187688</v>
      </c>
      <c r="I1118" s="413">
        <f t="shared" si="38"/>
        <v>0</v>
      </c>
      <c r="J1118"/>
      <c r="K1118"/>
      <c r="L1118" s="11"/>
    </row>
    <row r="1119" spans="2:12" ht="15" thickBot="1">
      <c r="B1119" s="11"/>
      <c r="C1119" s="414">
        <v>30</v>
      </c>
      <c r="D1119" s="415">
        <f t="shared" si="39"/>
        <v>690.0621955812312</v>
      </c>
      <c r="E1119" s="416">
        <f t="shared" si="40"/>
        <v>600</v>
      </c>
      <c r="F1119" s="417">
        <f ca="1" t="shared" si="35"/>
        <v>0.31050419672828866</v>
      </c>
      <c r="G1119" s="415">
        <f t="shared" si="36"/>
        <v>310.50419672828866</v>
      </c>
      <c r="H1119" s="415">
        <f t="shared" si="37"/>
        <v>310.50419672828866</v>
      </c>
      <c r="I1119" s="418">
        <f t="shared" si="38"/>
        <v>0</v>
      </c>
      <c r="J1119"/>
      <c r="K1119"/>
      <c r="L1119" s="11"/>
    </row>
    <row r="1120" spans="2:12" ht="15.75">
      <c r="B1120" s="11"/>
      <c r="C1120" s="419" t="s">
        <v>651</v>
      </c>
      <c r="D1120" s="420"/>
      <c r="E1120" s="421">
        <f>SUM(E1090:E1119)</f>
        <v>12600</v>
      </c>
      <c r="F1120" s="422"/>
      <c r="G1120" s="423">
        <f>SUM(G1090:G1119)</f>
        <v>13959.469686774384</v>
      </c>
      <c r="H1120" s="423">
        <f>SUM(H1090:H1119)</f>
        <v>12720.442001147057</v>
      </c>
      <c r="I1120" s="424">
        <f>SUM(I1090:I1119)</f>
        <v>1239.027685627326</v>
      </c>
      <c r="J1120"/>
      <c r="K1120"/>
      <c r="L1120" s="11"/>
    </row>
    <row r="1121" spans="2:12" ht="13.5">
      <c r="B1121" s="11"/>
      <c r="C1121" s="419" t="s">
        <v>652</v>
      </c>
      <c r="D1121" s="425">
        <f>AVERAGE(D1090:D1119)</f>
        <v>1020.1014258890034</v>
      </c>
      <c r="E1121" s="425">
        <f>AVERAGE(E1090:E1119)</f>
        <v>420</v>
      </c>
      <c r="F1121" s="425"/>
      <c r="G1121" s="425">
        <f>AVERAGE(G1090:G1119)</f>
        <v>465.3156562258128</v>
      </c>
      <c r="H1121" s="425">
        <f>AVERAGE(H1090:H1119)</f>
        <v>424.0147333715686</v>
      </c>
      <c r="I1121" s="426">
        <f>AVERAGE(I1090:I1119)</f>
        <v>41.3009228542442</v>
      </c>
      <c r="J1121"/>
      <c r="K1121"/>
      <c r="L1121" s="11"/>
    </row>
    <row r="1122" spans="3:12" ht="13.5">
      <c r="C1122" s="341" t="s">
        <v>484</v>
      </c>
      <c r="D1122" s="427">
        <f>STDEV(D1090:D1119)</f>
        <v>356.20040423244154</v>
      </c>
      <c r="E1122" s="427">
        <f>STDEV(E1090:E1119)</f>
        <v>279.65495981963943</v>
      </c>
      <c r="F1122" s="428"/>
      <c r="G1122" s="427">
        <f>STDEV(G1090:G1119)</f>
        <v>299.5042192554964</v>
      </c>
      <c r="H1122" s="427">
        <f>STDEV(H1090:H1119)</f>
        <v>260.7004129145032</v>
      </c>
      <c r="I1122" s="429">
        <f>STDEV(I1090:I1119)</f>
        <v>122.04377045913827</v>
      </c>
      <c r="J1122"/>
      <c r="K1122"/>
      <c r="L1122" s="11"/>
    </row>
    <row r="1123" spans="3:12" ht="15" thickBot="1">
      <c r="C1123" s="102" t="s">
        <v>485</v>
      </c>
      <c r="D1123" s="430">
        <f>D1122/D1121</f>
        <v>0.349181360982824</v>
      </c>
      <c r="E1123" s="430">
        <f>E1122/E1121</f>
        <v>0.665845142427713</v>
      </c>
      <c r="F1123" s="430"/>
      <c r="G1123" s="430">
        <f>G1122/G1121</f>
        <v>0.6436581603223558</v>
      </c>
      <c r="H1123" s="430">
        <f>H1122/H1121</f>
        <v>0.6148380997083153</v>
      </c>
      <c r="I1123" s="431">
        <f>IF(I1122/I1121&lt;0,0,I1122/I1121)</f>
        <v>2.9549889451585636</v>
      </c>
      <c r="J1123"/>
      <c r="K1123"/>
      <c r="L1123" s="48"/>
    </row>
    <row r="1124" spans="10:12" ht="12.75">
      <c r="J1124"/>
      <c r="K1124"/>
      <c r="L1124" s="11"/>
    </row>
    <row r="1125" spans="2:12" ht="13.5">
      <c r="B1125" s="90" t="s">
        <v>653</v>
      </c>
      <c r="C1125" s="91"/>
      <c r="J1125"/>
      <c r="K1125"/>
      <c r="L1125" s="11"/>
    </row>
    <row r="1126" spans="2:11" ht="13.5">
      <c r="B1126" s="90" t="s">
        <v>654</v>
      </c>
      <c r="C1126" s="91"/>
      <c r="J1126"/>
      <c r="K1126"/>
    </row>
    <row r="1127" spans="2:11" ht="13.5">
      <c r="B1127" s="90" t="s">
        <v>655</v>
      </c>
      <c r="C1127" s="91"/>
      <c r="J1127"/>
      <c r="K1127"/>
    </row>
    <row r="1128" spans="2:3" ht="13.5">
      <c r="B1128" s="90" t="s">
        <v>656</v>
      </c>
      <c r="C1128" s="91"/>
    </row>
    <row r="1129" spans="2:3" ht="13.5">
      <c r="B1129" s="90" t="s">
        <v>657</v>
      </c>
      <c r="C1129" s="91"/>
    </row>
    <row r="1130" spans="2:9" ht="12.75">
      <c r="B1130"/>
      <c r="C1130"/>
      <c r="D1130"/>
      <c r="E1130"/>
      <c r="F1130"/>
      <c r="G1130"/>
      <c r="H1130"/>
      <c r="I1130"/>
    </row>
    <row r="1131" spans="2:9" ht="12.75">
      <c r="B1131"/>
      <c r="C1131"/>
      <c r="D1131"/>
      <c r="E1131"/>
      <c r="F1131"/>
      <c r="G1131"/>
      <c r="H1131"/>
      <c r="I1131"/>
    </row>
    <row r="1132" spans="2:9" ht="12.75">
      <c r="B1132"/>
      <c r="C1132"/>
      <c r="D1132"/>
      <c r="E1132"/>
      <c r="F1132"/>
      <c r="G1132"/>
      <c r="H1132"/>
      <c r="I1132"/>
    </row>
    <row r="1133" spans="2:9" ht="12.75">
      <c r="B1133"/>
      <c r="C1133"/>
      <c r="D1133"/>
      <c r="E1133"/>
      <c r="F1133"/>
      <c r="G1133"/>
      <c r="H1133"/>
      <c r="I1133"/>
    </row>
    <row r="1134" spans="2:3" ht="13.5">
      <c r="B1134" s="90"/>
      <c r="C1134" s="91"/>
    </row>
    <row r="1135" spans="2:3" ht="13.5">
      <c r="B1135" s="90"/>
      <c r="C1135" s="91"/>
    </row>
    <row r="1136" spans="2:3" ht="13.5">
      <c r="B1136" s="90"/>
      <c r="C1136" s="91"/>
    </row>
    <row r="1137" spans="2:3" ht="13.5">
      <c r="B1137" s="90"/>
      <c r="C1137" s="91"/>
    </row>
    <row r="1138" spans="2:3" ht="13.5">
      <c r="B1138" s="90"/>
      <c r="C1138" s="91"/>
    </row>
    <row r="1143" spans="4:9" ht="12">
      <c r="D1143" s="45"/>
      <c r="E1143" s="38"/>
      <c r="F1143" s="47" t="s">
        <v>498</v>
      </c>
      <c r="G1143" s="38"/>
      <c r="H1143" s="38"/>
      <c r="I1143" s="46"/>
    </row>
    <row r="1144" spans="4:9" ht="12">
      <c r="D1144" s="45"/>
      <c r="E1144" s="38"/>
      <c r="F1144" s="47" t="s">
        <v>643</v>
      </c>
      <c r="G1144" s="38"/>
      <c r="H1144" s="38"/>
      <c r="I1144" s="46"/>
    </row>
    <row r="1145" spans="5:9" ht="12.75" thickBot="1">
      <c r="E1145" s="45"/>
      <c r="F1145" s="38"/>
      <c r="G1145" s="38"/>
      <c r="H1145" s="38"/>
      <c r="I1145" s="38"/>
    </row>
    <row r="1146" spans="3:9" ht="12">
      <c r="C1146" s="59" t="s">
        <v>479</v>
      </c>
      <c r="D1146" s="37" t="s">
        <v>404</v>
      </c>
      <c r="E1146" s="49" t="s">
        <v>644</v>
      </c>
      <c r="F1146" s="50" t="s">
        <v>645</v>
      </c>
      <c r="G1146" s="51" t="s">
        <v>658</v>
      </c>
      <c r="H1146" s="51" t="s">
        <v>647</v>
      </c>
      <c r="I1146" s="52" t="s">
        <v>648</v>
      </c>
    </row>
    <row r="1147" spans="3:9" ht="12.75" thickBot="1">
      <c r="C1147" s="60"/>
      <c r="D1147" s="61"/>
      <c r="E1147" s="29"/>
      <c r="F1147" s="62"/>
      <c r="G1147" s="39" t="s">
        <v>659</v>
      </c>
      <c r="H1147" s="39"/>
      <c r="I1147" s="63"/>
    </row>
    <row r="1148" spans="3:9" ht="12">
      <c r="C1148" s="54">
        <v>1</v>
      </c>
      <c r="D1148" s="64">
        <f>F1094</f>
        <v>0.26365868091306766</v>
      </c>
      <c r="E1148" s="65">
        <v>0</v>
      </c>
      <c r="F1148" s="66">
        <f aca="true" ca="1" t="shared" si="41" ref="F1148:F1177">RAND()</f>
        <v>0.1096682956604127</v>
      </c>
      <c r="G1148" s="64">
        <f aca="true" t="shared" si="42" ref="G1148:G1177">F1148*1000</f>
        <v>109.6682956604127</v>
      </c>
      <c r="H1148" s="64">
        <f aca="true" t="shared" si="43" ref="H1148:H1177">IF((G1148&lt;D1148),G1148,D1148)</f>
        <v>0.26365868091306766</v>
      </c>
      <c r="I1148" s="55">
        <f aca="true" t="shared" si="44" ref="I1148:I1177">G1148-H1148</f>
        <v>109.40463697949963</v>
      </c>
    </row>
    <row r="1149" spans="3:9" ht="12">
      <c r="C1149" s="54">
        <v>2</v>
      </c>
      <c r="D1149" s="64">
        <f aca="true" t="shared" si="45" ref="D1149:D1177">IF(D1148-H1148+E1149&gt;0,(D1148-H1148+E1149),0)</f>
        <v>600</v>
      </c>
      <c r="E1149" s="65">
        <f aca="true" t="shared" si="46" ref="E1149:E1177">IF((G1148/D1148)&gt;$G$1037,$G$1036,0)</f>
        <v>600</v>
      </c>
      <c r="F1149" s="66">
        <f ca="1" t="shared" si="41"/>
        <v>0.603232247237429</v>
      </c>
      <c r="G1149" s="64">
        <f t="shared" si="42"/>
        <v>603.232247237429</v>
      </c>
      <c r="H1149" s="64">
        <f t="shared" si="43"/>
        <v>600</v>
      </c>
      <c r="I1149" s="55">
        <f t="shared" si="44"/>
        <v>3.2322472374289646</v>
      </c>
    </row>
    <row r="1150" spans="3:9" ht="12">
      <c r="C1150" s="54">
        <v>3</v>
      </c>
      <c r="D1150" s="64">
        <f t="shared" si="45"/>
        <v>600</v>
      </c>
      <c r="E1150" s="65">
        <f t="shared" si="46"/>
        <v>600</v>
      </c>
      <c r="F1150" s="66">
        <f ca="1" t="shared" si="41"/>
        <v>0.5552271187898441</v>
      </c>
      <c r="G1150" s="64">
        <f t="shared" si="42"/>
        <v>555.2271187898441</v>
      </c>
      <c r="H1150" s="64">
        <f t="shared" si="43"/>
        <v>555.2271187898441</v>
      </c>
      <c r="I1150" s="55">
        <f t="shared" si="44"/>
        <v>0</v>
      </c>
    </row>
    <row r="1151" spans="3:9" ht="12">
      <c r="C1151" s="54">
        <v>4</v>
      </c>
      <c r="D1151" s="64">
        <f t="shared" si="45"/>
        <v>644.7728812101559</v>
      </c>
      <c r="E1151" s="65">
        <f t="shared" si="46"/>
        <v>600</v>
      </c>
      <c r="F1151" s="66">
        <f ca="1" t="shared" si="41"/>
        <v>0.09686063505887432</v>
      </c>
      <c r="G1151" s="64">
        <f t="shared" si="42"/>
        <v>96.86063505887432</v>
      </c>
      <c r="H1151" s="64">
        <f t="shared" si="43"/>
        <v>96.86063505887432</v>
      </c>
      <c r="I1151" s="55">
        <f t="shared" si="44"/>
        <v>0</v>
      </c>
    </row>
    <row r="1152" spans="3:11" ht="12.75">
      <c r="C1152" s="54">
        <v>5</v>
      </c>
      <c r="D1152" s="64">
        <f t="shared" si="45"/>
        <v>547.9122461512816</v>
      </c>
      <c r="E1152" s="65">
        <f t="shared" si="46"/>
        <v>0</v>
      </c>
      <c r="F1152" s="66">
        <f ca="1" t="shared" si="41"/>
        <v>0.4796239132047049</v>
      </c>
      <c r="G1152" s="64">
        <f t="shared" si="42"/>
        <v>479.6239132047049</v>
      </c>
      <c r="H1152" s="64">
        <f t="shared" si="43"/>
        <v>479.6239132047049</v>
      </c>
      <c r="I1152" s="55">
        <f t="shared" si="44"/>
        <v>0</v>
      </c>
      <c r="J1152"/>
      <c r="K1152"/>
    </row>
    <row r="1153" spans="3:11" ht="12.75">
      <c r="C1153" s="54">
        <v>6</v>
      </c>
      <c r="D1153" s="64">
        <f t="shared" si="45"/>
        <v>668.2883329465767</v>
      </c>
      <c r="E1153" s="65">
        <f t="shared" si="46"/>
        <v>600</v>
      </c>
      <c r="F1153" s="66">
        <f ca="1" t="shared" si="41"/>
        <v>0.5977785834065799</v>
      </c>
      <c r="G1153" s="64">
        <f t="shared" si="42"/>
        <v>597.7785834065799</v>
      </c>
      <c r="H1153" s="64">
        <f t="shared" si="43"/>
        <v>597.7785834065799</v>
      </c>
      <c r="I1153" s="55">
        <f t="shared" si="44"/>
        <v>0</v>
      </c>
      <c r="J1153"/>
      <c r="K1153"/>
    </row>
    <row r="1154" spans="3:11" ht="12.75">
      <c r="C1154" s="54">
        <v>7</v>
      </c>
      <c r="D1154" s="64">
        <f t="shared" si="45"/>
        <v>670.5097495399968</v>
      </c>
      <c r="E1154" s="65">
        <f t="shared" si="46"/>
        <v>600</v>
      </c>
      <c r="F1154" s="66">
        <f ca="1" t="shared" si="41"/>
        <v>0.9947946360207425</v>
      </c>
      <c r="G1154" s="64">
        <f t="shared" si="42"/>
        <v>994.7946360207425</v>
      </c>
      <c r="H1154" s="64">
        <f t="shared" si="43"/>
        <v>670.5097495399968</v>
      </c>
      <c r="I1154" s="55">
        <f t="shared" si="44"/>
        <v>324.2848864807456</v>
      </c>
      <c r="J1154"/>
      <c r="K1154"/>
    </row>
    <row r="1155" spans="3:11" ht="12.75">
      <c r="C1155" s="54">
        <v>8</v>
      </c>
      <c r="D1155" s="64">
        <f t="shared" si="45"/>
        <v>600</v>
      </c>
      <c r="E1155" s="65">
        <f t="shared" si="46"/>
        <v>600</v>
      </c>
      <c r="F1155" s="66">
        <f ca="1" t="shared" si="41"/>
        <v>0.08944735971272166</v>
      </c>
      <c r="G1155" s="64">
        <f t="shared" si="42"/>
        <v>89.44735971272166</v>
      </c>
      <c r="H1155" s="64">
        <f t="shared" si="43"/>
        <v>89.44735971272166</v>
      </c>
      <c r="I1155" s="55">
        <f t="shared" si="44"/>
        <v>0</v>
      </c>
      <c r="J1155"/>
      <c r="K1155"/>
    </row>
    <row r="1156" spans="3:11" ht="12.75">
      <c r="C1156" s="54">
        <v>9</v>
      </c>
      <c r="D1156" s="64">
        <f t="shared" si="45"/>
        <v>510.55264028727834</v>
      </c>
      <c r="E1156" s="65">
        <f t="shared" si="46"/>
        <v>0</v>
      </c>
      <c r="F1156" s="66">
        <f ca="1" t="shared" si="41"/>
        <v>0.6738467386394404</v>
      </c>
      <c r="G1156" s="64">
        <f t="shared" si="42"/>
        <v>673.8467386394404</v>
      </c>
      <c r="H1156" s="64">
        <f t="shared" si="43"/>
        <v>510.55264028727834</v>
      </c>
      <c r="I1156" s="55">
        <f t="shared" si="44"/>
        <v>163.2940983521621</v>
      </c>
      <c r="J1156"/>
      <c r="K1156"/>
    </row>
    <row r="1157" spans="3:11" ht="12.75">
      <c r="C1157" s="54">
        <v>10</v>
      </c>
      <c r="D1157" s="64">
        <f t="shared" si="45"/>
        <v>600</v>
      </c>
      <c r="E1157" s="65">
        <f t="shared" si="46"/>
        <v>600</v>
      </c>
      <c r="F1157" s="66">
        <f ca="1" t="shared" si="41"/>
        <v>0.060147177944600116</v>
      </c>
      <c r="G1157" s="64">
        <f t="shared" si="42"/>
        <v>60.14717794460012</v>
      </c>
      <c r="H1157" s="64">
        <f t="shared" si="43"/>
        <v>60.14717794460012</v>
      </c>
      <c r="I1157" s="55">
        <f t="shared" si="44"/>
        <v>0</v>
      </c>
      <c r="J1157"/>
      <c r="K1157"/>
    </row>
    <row r="1158" spans="3:11" ht="12.75">
      <c r="C1158" s="54">
        <v>11</v>
      </c>
      <c r="D1158" s="64">
        <f t="shared" si="45"/>
        <v>539.8528220553999</v>
      </c>
      <c r="E1158" s="65">
        <f t="shared" si="46"/>
        <v>0</v>
      </c>
      <c r="F1158" s="66">
        <f ca="1" t="shared" si="41"/>
        <v>0.9167615939177267</v>
      </c>
      <c r="G1158" s="64">
        <f t="shared" si="42"/>
        <v>916.7615939177267</v>
      </c>
      <c r="H1158" s="64">
        <f t="shared" si="43"/>
        <v>539.8528220553999</v>
      </c>
      <c r="I1158" s="55">
        <f t="shared" si="44"/>
        <v>376.90877186232683</v>
      </c>
      <c r="J1158"/>
      <c r="K1158"/>
    </row>
    <row r="1159" spans="3:11" ht="12.75">
      <c r="C1159" s="54">
        <v>12</v>
      </c>
      <c r="D1159" s="64">
        <f t="shared" si="45"/>
        <v>600</v>
      </c>
      <c r="E1159" s="65">
        <f t="shared" si="46"/>
        <v>600</v>
      </c>
      <c r="F1159" s="66">
        <f ca="1" t="shared" si="41"/>
        <v>0.7269408659958572</v>
      </c>
      <c r="G1159" s="64">
        <f t="shared" si="42"/>
        <v>726.9408659958572</v>
      </c>
      <c r="H1159" s="64">
        <f t="shared" si="43"/>
        <v>600</v>
      </c>
      <c r="I1159" s="55">
        <f t="shared" si="44"/>
        <v>126.94086599585717</v>
      </c>
      <c r="J1159"/>
      <c r="K1159"/>
    </row>
    <row r="1160" spans="3:11" ht="12.75">
      <c r="C1160" s="54">
        <v>13</v>
      </c>
      <c r="D1160" s="64">
        <f t="shared" si="45"/>
        <v>600</v>
      </c>
      <c r="E1160" s="65">
        <f t="shared" si="46"/>
        <v>600</v>
      </c>
      <c r="F1160" s="66">
        <f ca="1" t="shared" si="41"/>
        <v>0.49757194531321147</v>
      </c>
      <c r="G1160" s="64">
        <f t="shared" si="42"/>
        <v>497.5719453132115</v>
      </c>
      <c r="H1160" s="64">
        <f t="shared" si="43"/>
        <v>497.5719453132115</v>
      </c>
      <c r="I1160" s="55">
        <f t="shared" si="44"/>
        <v>0</v>
      </c>
      <c r="J1160"/>
      <c r="K1160"/>
    </row>
    <row r="1161" spans="3:11" ht="12.75">
      <c r="C1161" s="54">
        <v>14</v>
      </c>
      <c r="D1161" s="64">
        <f t="shared" si="45"/>
        <v>702.4280546867885</v>
      </c>
      <c r="E1161" s="65">
        <f t="shared" si="46"/>
        <v>600</v>
      </c>
      <c r="F1161" s="66">
        <f ca="1" t="shared" si="41"/>
        <v>0.8654019210498518</v>
      </c>
      <c r="G1161" s="64">
        <f t="shared" si="42"/>
        <v>865.4019210498518</v>
      </c>
      <c r="H1161" s="64">
        <f t="shared" si="43"/>
        <v>702.4280546867885</v>
      </c>
      <c r="I1161" s="55">
        <f t="shared" si="44"/>
        <v>162.97386636306328</v>
      </c>
      <c r="J1161"/>
      <c r="K1161"/>
    </row>
    <row r="1162" spans="3:11" ht="12.75">
      <c r="C1162" s="54">
        <v>15</v>
      </c>
      <c r="D1162" s="64">
        <f t="shared" si="45"/>
        <v>600</v>
      </c>
      <c r="E1162" s="65">
        <f t="shared" si="46"/>
        <v>600</v>
      </c>
      <c r="F1162" s="66">
        <f ca="1" t="shared" si="41"/>
        <v>0.3235936305954965</v>
      </c>
      <c r="G1162" s="64">
        <f t="shared" si="42"/>
        <v>323.5936305954965</v>
      </c>
      <c r="H1162" s="64">
        <f t="shared" si="43"/>
        <v>323.5936305954965</v>
      </c>
      <c r="I1162" s="55">
        <f t="shared" si="44"/>
        <v>0</v>
      </c>
      <c r="J1162"/>
      <c r="K1162"/>
    </row>
    <row r="1163" spans="3:11" ht="12.75">
      <c r="C1163" s="54">
        <v>16</v>
      </c>
      <c r="D1163" s="64">
        <f t="shared" si="45"/>
        <v>876.4063694045035</v>
      </c>
      <c r="E1163" s="65">
        <f t="shared" si="46"/>
        <v>600</v>
      </c>
      <c r="F1163" s="66">
        <f ca="1" t="shared" si="41"/>
        <v>0.2243730783711726</v>
      </c>
      <c r="G1163" s="64">
        <f t="shared" si="42"/>
        <v>224.3730783711726</v>
      </c>
      <c r="H1163" s="64">
        <f t="shared" si="43"/>
        <v>224.3730783711726</v>
      </c>
      <c r="I1163" s="55">
        <f t="shared" si="44"/>
        <v>0</v>
      </c>
      <c r="J1163"/>
      <c r="K1163"/>
    </row>
    <row r="1164" spans="3:11" ht="12.75">
      <c r="C1164" s="54">
        <v>17</v>
      </c>
      <c r="D1164" s="64">
        <f t="shared" si="45"/>
        <v>1252.033291033331</v>
      </c>
      <c r="E1164" s="65">
        <f t="shared" si="46"/>
        <v>600</v>
      </c>
      <c r="F1164" s="66">
        <f ca="1" t="shared" si="41"/>
        <v>0.7793296832860506</v>
      </c>
      <c r="G1164" s="64">
        <f t="shared" si="42"/>
        <v>779.3296832860506</v>
      </c>
      <c r="H1164" s="64">
        <f t="shared" si="43"/>
        <v>779.3296832860506</v>
      </c>
      <c r="I1164" s="55">
        <f t="shared" si="44"/>
        <v>0</v>
      </c>
      <c r="J1164"/>
      <c r="K1164"/>
    </row>
    <row r="1165" spans="3:11" ht="12.75">
      <c r="C1165" s="54">
        <v>18</v>
      </c>
      <c r="D1165" s="64">
        <f t="shared" si="45"/>
        <v>1072.7036077472803</v>
      </c>
      <c r="E1165" s="65">
        <f t="shared" si="46"/>
        <v>600</v>
      </c>
      <c r="F1165" s="66">
        <f ca="1" t="shared" si="41"/>
        <v>0.008146552302605414</v>
      </c>
      <c r="G1165" s="64">
        <f t="shared" si="42"/>
        <v>8.146552302605414</v>
      </c>
      <c r="H1165" s="64">
        <f t="shared" si="43"/>
        <v>8.146552302605414</v>
      </c>
      <c r="I1165" s="55">
        <f t="shared" si="44"/>
        <v>0</v>
      </c>
      <c r="J1165"/>
      <c r="K1165"/>
    </row>
    <row r="1166" spans="3:11" ht="12.75">
      <c r="C1166" s="54">
        <v>19</v>
      </c>
      <c r="D1166" s="64">
        <f t="shared" si="45"/>
        <v>1064.557055444675</v>
      </c>
      <c r="E1166" s="65">
        <f t="shared" si="46"/>
        <v>0</v>
      </c>
      <c r="F1166" s="66">
        <f ca="1" t="shared" si="41"/>
        <v>0.21861716388777097</v>
      </c>
      <c r="G1166" s="64">
        <f t="shared" si="42"/>
        <v>218.61716388777097</v>
      </c>
      <c r="H1166" s="64">
        <f t="shared" si="43"/>
        <v>218.61716388777097</v>
      </c>
      <c r="I1166" s="55">
        <f t="shared" si="44"/>
        <v>0</v>
      </c>
      <c r="J1166"/>
      <c r="K1166"/>
    </row>
    <row r="1167" spans="3:11" ht="12.75">
      <c r="C1167" s="54">
        <v>20</v>
      </c>
      <c r="D1167" s="64">
        <f t="shared" si="45"/>
        <v>845.939891556904</v>
      </c>
      <c r="E1167" s="65">
        <f t="shared" si="46"/>
        <v>0</v>
      </c>
      <c r="F1167" s="66">
        <f ca="1" t="shared" si="41"/>
        <v>0.2504935417987326</v>
      </c>
      <c r="G1167" s="64">
        <f t="shared" si="42"/>
        <v>250.49354179873262</v>
      </c>
      <c r="H1167" s="64">
        <f t="shared" si="43"/>
        <v>250.49354179873262</v>
      </c>
      <c r="I1167" s="55">
        <f t="shared" si="44"/>
        <v>0</v>
      </c>
      <c r="J1167"/>
      <c r="K1167"/>
    </row>
    <row r="1168" spans="3:11" ht="12.75">
      <c r="C1168" s="54">
        <v>21</v>
      </c>
      <c r="D1168" s="64">
        <f t="shared" si="45"/>
        <v>1195.4463497581714</v>
      </c>
      <c r="E1168" s="65">
        <f t="shared" si="46"/>
        <v>600</v>
      </c>
      <c r="F1168" s="66">
        <f ca="1" t="shared" si="41"/>
        <v>0.3084010053530619</v>
      </c>
      <c r="G1168" s="64">
        <f t="shared" si="42"/>
        <v>308.4010053530619</v>
      </c>
      <c r="H1168" s="64">
        <f t="shared" si="43"/>
        <v>308.4010053530619</v>
      </c>
      <c r="I1168" s="55">
        <f t="shared" si="44"/>
        <v>0</v>
      </c>
      <c r="J1168"/>
      <c r="K1168"/>
    </row>
    <row r="1169" spans="3:11" ht="12.75">
      <c r="C1169" s="54">
        <v>22</v>
      </c>
      <c r="D1169" s="64">
        <f t="shared" si="45"/>
        <v>1487.0453444051095</v>
      </c>
      <c r="E1169" s="65">
        <f t="shared" si="46"/>
        <v>600</v>
      </c>
      <c r="F1169" s="66">
        <f ca="1" t="shared" si="41"/>
        <v>0.017600572421088145</v>
      </c>
      <c r="G1169" s="64">
        <f t="shared" si="42"/>
        <v>17.600572421088145</v>
      </c>
      <c r="H1169" s="64">
        <f t="shared" si="43"/>
        <v>17.600572421088145</v>
      </c>
      <c r="I1169" s="55">
        <f t="shared" si="44"/>
        <v>0</v>
      </c>
      <c r="J1169"/>
      <c r="K1169"/>
    </row>
    <row r="1170" spans="3:11" ht="12.75">
      <c r="C1170" s="54">
        <v>23</v>
      </c>
      <c r="D1170" s="64">
        <f t="shared" si="45"/>
        <v>1469.4447719840214</v>
      </c>
      <c r="E1170" s="65">
        <f t="shared" si="46"/>
        <v>0</v>
      </c>
      <c r="F1170" s="66">
        <f ca="1" t="shared" si="41"/>
        <v>0.06654874750668682</v>
      </c>
      <c r="G1170" s="64">
        <f t="shared" si="42"/>
        <v>66.54874750668682</v>
      </c>
      <c r="H1170" s="64">
        <f t="shared" si="43"/>
        <v>66.54874750668682</v>
      </c>
      <c r="I1170" s="55">
        <f t="shared" si="44"/>
        <v>0</v>
      </c>
      <c r="J1170"/>
      <c r="K1170"/>
    </row>
    <row r="1171" spans="3:11" ht="12.75">
      <c r="C1171" s="54">
        <v>24</v>
      </c>
      <c r="D1171" s="64">
        <f t="shared" si="45"/>
        <v>1402.8960244773345</v>
      </c>
      <c r="E1171" s="65">
        <f t="shared" si="46"/>
        <v>0</v>
      </c>
      <c r="F1171" s="66">
        <f ca="1" t="shared" si="41"/>
        <v>0.7865762631712414</v>
      </c>
      <c r="G1171" s="64">
        <f t="shared" si="42"/>
        <v>786.5762631712414</v>
      </c>
      <c r="H1171" s="64">
        <f t="shared" si="43"/>
        <v>786.5762631712414</v>
      </c>
      <c r="I1171" s="55">
        <f t="shared" si="44"/>
        <v>0</v>
      </c>
      <c r="J1171"/>
      <c r="K1171"/>
    </row>
    <row r="1172" spans="3:11" ht="12.75">
      <c r="C1172" s="54">
        <v>25</v>
      </c>
      <c r="D1172" s="64">
        <f t="shared" si="45"/>
        <v>1216.3197613060931</v>
      </c>
      <c r="E1172" s="65">
        <f t="shared" si="46"/>
        <v>600</v>
      </c>
      <c r="F1172" s="66">
        <f ca="1" t="shared" si="41"/>
        <v>0.17680760476196156</v>
      </c>
      <c r="G1172" s="64">
        <f t="shared" si="42"/>
        <v>176.80760476196156</v>
      </c>
      <c r="H1172" s="64">
        <f t="shared" si="43"/>
        <v>176.80760476196156</v>
      </c>
      <c r="I1172" s="55">
        <f t="shared" si="44"/>
        <v>0</v>
      </c>
      <c r="J1172"/>
      <c r="K1172"/>
    </row>
    <row r="1173" spans="3:11" ht="12.75">
      <c r="C1173" s="54">
        <v>26</v>
      </c>
      <c r="D1173" s="64">
        <f t="shared" si="45"/>
        <v>1039.5121565441316</v>
      </c>
      <c r="E1173" s="65">
        <f t="shared" si="46"/>
        <v>0</v>
      </c>
      <c r="F1173" s="66">
        <f ca="1" t="shared" si="41"/>
        <v>0.6388133672244294</v>
      </c>
      <c r="G1173" s="64">
        <f t="shared" si="42"/>
        <v>638.8133672244294</v>
      </c>
      <c r="H1173" s="64">
        <f t="shared" si="43"/>
        <v>638.8133672244294</v>
      </c>
      <c r="I1173" s="55">
        <f t="shared" si="44"/>
        <v>0</v>
      </c>
      <c r="J1173"/>
      <c r="K1173"/>
    </row>
    <row r="1174" spans="3:11" ht="12.75">
      <c r="C1174" s="54">
        <v>27</v>
      </c>
      <c r="D1174" s="64">
        <f t="shared" si="45"/>
        <v>1000.6987893197022</v>
      </c>
      <c r="E1174" s="65">
        <f t="shared" si="46"/>
        <v>600</v>
      </c>
      <c r="F1174" s="66">
        <f ca="1" t="shared" si="41"/>
        <v>0.9974065111209711</v>
      </c>
      <c r="G1174" s="64">
        <f t="shared" si="42"/>
        <v>997.4065111209711</v>
      </c>
      <c r="H1174" s="64">
        <f t="shared" si="43"/>
        <v>997.4065111209711</v>
      </c>
      <c r="I1174" s="55">
        <f t="shared" si="44"/>
        <v>0</v>
      </c>
      <c r="J1174"/>
      <c r="K1174"/>
    </row>
    <row r="1175" spans="3:11" ht="12.75">
      <c r="C1175" s="54">
        <v>28</v>
      </c>
      <c r="D1175" s="64">
        <f t="shared" si="45"/>
        <v>603.2922781987311</v>
      </c>
      <c r="E1175" s="65">
        <f t="shared" si="46"/>
        <v>600</v>
      </c>
      <c r="F1175" s="66">
        <f ca="1" t="shared" si="41"/>
        <v>0.7406727190573292</v>
      </c>
      <c r="G1175" s="64">
        <f t="shared" si="42"/>
        <v>740.6727190573292</v>
      </c>
      <c r="H1175" s="64">
        <f t="shared" si="43"/>
        <v>603.2922781987311</v>
      </c>
      <c r="I1175" s="55">
        <f t="shared" si="44"/>
        <v>137.38044085859815</v>
      </c>
      <c r="J1175"/>
      <c r="K1175"/>
    </row>
    <row r="1176" spans="3:11" ht="12.75">
      <c r="C1176" s="54">
        <v>29</v>
      </c>
      <c r="D1176" s="64">
        <f t="shared" si="45"/>
        <v>600</v>
      </c>
      <c r="E1176" s="65">
        <f t="shared" si="46"/>
        <v>600</v>
      </c>
      <c r="F1176" s="66">
        <f ca="1" t="shared" si="41"/>
        <v>0.35810086203036917</v>
      </c>
      <c r="G1176" s="64">
        <f t="shared" si="42"/>
        <v>358.10086203036917</v>
      </c>
      <c r="H1176" s="64">
        <f t="shared" si="43"/>
        <v>358.10086203036917</v>
      </c>
      <c r="I1176" s="55">
        <f t="shared" si="44"/>
        <v>0</v>
      </c>
      <c r="J1176"/>
      <c r="K1176"/>
    </row>
    <row r="1177" spans="3:11" ht="13.5" thickBot="1">
      <c r="C1177" s="72">
        <v>30</v>
      </c>
      <c r="D1177" s="73">
        <f t="shared" si="45"/>
        <v>841.8991379696308</v>
      </c>
      <c r="E1177" s="74">
        <f t="shared" si="46"/>
        <v>600</v>
      </c>
      <c r="F1177" s="75">
        <f ca="1" t="shared" si="41"/>
        <v>0.11989300025561533</v>
      </c>
      <c r="G1177" s="73">
        <f t="shared" si="42"/>
        <v>119.89300025561533</v>
      </c>
      <c r="H1177" s="73">
        <f t="shared" si="43"/>
        <v>119.89300025561533</v>
      </c>
      <c r="I1177" s="76">
        <f t="shared" si="44"/>
        <v>0</v>
      </c>
      <c r="J1177"/>
      <c r="K1177"/>
    </row>
    <row r="1178" spans="3:11" ht="12.75">
      <c r="C1178" s="56" t="s">
        <v>651</v>
      </c>
      <c r="D1178" s="67"/>
      <c r="E1178" s="68">
        <f>SUM(E1148:E1177)</f>
        <v>12600</v>
      </c>
      <c r="F1178" s="69"/>
      <c r="G1178" s="70">
        <f>SUM(G1148:G1177)</f>
        <v>13282.677335096581</v>
      </c>
      <c r="H1178" s="70">
        <f>SUM(H1148:H1177)</f>
        <v>11878.2575209669</v>
      </c>
      <c r="I1178" s="57">
        <f>SUM(I1148:I1177)</f>
        <v>1404.4198141296818</v>
      </c>
      <c r="J1178"/>
      <c r="K1178"/>
    </row>
    <row r="1179" spans="3:11" ht="12.75">
      <c r="C1179" s="56" t="s">
        <v>652</v>
      </c>
      <c r="D1179" s="77">
        <f>AVERAGE(D1148:D1177)</f>
        <v>815.0925071569338</v>
      </c>
      <c r="E1179" s="77">
        <f>AVERAGE(E1148:E1177)</f>
        <v>420</v>
      </c>
      <c r="F1179" s="77"/>
      <c r="G1179" s="77">
        <f>AVERAGE(G1148:G1177)</f>
        <v>442.755911169886</v>
      </c>
      <c r="H1179" s="77">
        <f>AVERAGE(H1148:H1177)</f>
        <v>395.9419173655633</v>
      </c>
      <c r="I1179" s="78">
        <f>AVERAGE(I1148:I1177)</f>
        <v>46.81399380432273</v>
      </c>
      <c r="J1179"/>
      <c r="K1179"/>
    </row>
    <row r="1180" spans="3:11" ht="12.75">
      <c r="C1180" s="24" t="s">
        <v>484</v>
      </c>
      <c r="D1180" s="79">
        <f>STDEV(D1148:D1177)</f>
        <v>339.5528306930781</v>
      </c>
      <c r="E1180" s="79">
        <f>STDEV(E1148:E1177)</f>
        <v>279.65495981963943</v>
      </c>
      <c r="F1180" s="80"/>
      <c r="G1180" s="79">
        <f>STDEV(G1148:G1177)</f>
        <v>318.2715593985803</v>
      </c>
      <c r="H1180" s="79">
        <f>STDEV(H1148:H1177)</f>
        <v>275.96428783292936</v>
      </c>
      <c r="I1180" s="81">
        <f>STDEV(I1148:I1177)</f>
        <v>98.55281169703304</v>
      </c>
      <c r="J1180"/>
      <c r="K1180"/>
    </row>
    <row r="1181" spans="3:11" ht="13.5" thickBot="1">
      <c r="C1181" s="25" t="s">
        <v>485</v>
      </c>
      <c r="D1181" s="71">
        <f>D1180/D1179</f>
        <v>0.41658195568187484</v>
      </c>
      <c r="E1181" s="71">
        <f>E1180/E1179</f>
        <v>0.665845142427713</v>
      </c>
      <c r="F1181" s="71"/>
      <c r="G1181" s="71">
        <f>G1180/G1179</f>
        <v>0.7188420332042932</v>
      </c>
      <c r="H1181" s="71">
        <f>H1180/H1179</f>
        <v>0.6969817433553983</v>
      </c>
      <c r="I1181" s="58">
        <f>IF(I1180/I1179&lt;0,0,I1180/I1179)</f>
        <v>2.105199827832951</v>
      </c>
      <c r="J1181"/>
      <c r="K1181"/>
    </row>
    <row r="1182" spans="5:11" ht="12.75">
      <c r="E1182"/>
      <c r="F1182"/>
      <c r="G1182"/>
      <c r="H1182"/>
      <c r="I1182"/>
      <c r="J1182"/>
      <c r="K1182"/>
    </row>
    <row r="1183" spans="5:11" ht="12.75">
      <c r="E1183"/>
      <c r="F1183"/>
      <c r="G1183"/>
      <c r="H1183"/>
      <c r="I1183"/>
      <c r="J1183"/>
      <c r="K1183"/>
    </row>
    <row r="1184" spans="5:11" ht="12.75">
      <c r="E1184"/>
      <c r="F1184"/>
      <c r="G1184"/>
      <c r="H1184"/>
      <c r="I1184"/>
      <c r="J1184"/>
      <c r="K1184"/>
    </row>
    <row r="1185" spans="5:11" ht="12.75">
      <c r="E1185"/>
      <c r="F1185"/>
      <c r="G1185"/>
      <c r="H1185"/>
      <c r="I1185"/>
      <c r="J1185"/>
      <c r="K1185"/>
    </row>
    <row r="1186" spans="5:11" ht="12.75">
      <c r="E1186"/>
      <c r="F1186"/>
      <c r="G1186"/>
      <c r="H1186"/>
      <c r="I1186"/>
      <c r="J1186"/>
      <c r="K1186"/>
    </row>
    <row r="1187" spans="5:11" ht="12.75">
      <c r="E1187"/>
      <c r="F1187"/>
      <c r="G1187"/>
      <c r="H1187"/>
      <c r="I1187"/>
      <c r="J1187"/>
      <c r="K1187"/>
    </row>
    <row r="1188" spans="5:11" ht="12.75">
      <c r="E1188"/>
      <c r="F1188"/>
      <c r="G1188"/>
      <c r="H1188"/>
      <c r="I1188"/>
      <c r="J1188"/>
      <c r="K1188"/>
    </row>
    <row r="1189" spans="5:11" ht="12.75">
      <c r="E1189"/>
      <c r="F1189"/>
      <c r="G1189"/>
      <c r="H1189"/>
      <c r="I1189"/>
      <c r="J1189"/>
      <c r="K1189"/>
    </row>
    <row r="1190" spans="5:11" ht="12.75">
      <c r="E1190"/>
      <c r="F1190"/>
      <c r="G1190"/>
      <c r="H1190"/>
      <c r="I1190"/>
      <c r="J1190"/>
      <c r="K1190"/>
    </row>
  </sheetData>
  <printOptions/>
  <pageMargins left="0.3" right="0.3" top="1" bottom="1" header="0.5" footer="0.5"/>
  <pageSetup orientation="portrait" paperSize="9" scale="80"/>
  <headerFooter alignWithMargins="0">
    <oddFooter>&amp;CPage &amp;P</oddFooter>
  </headerFooter>
  <drawing r:id="rId7"/>
  <legacyDrawing r:id="rId6"/>
  <oleObjects>
    <oleObject progId="Equation.2" shapeId="152652" r:id="rId1"/>
    <oleObject progId="Equation.2" shapeId="99538" r:id="rId2"/>
    <oleObject progId="Equation.2" shapeId="547620" r:id="rId3"/>
    <oleObject progId="Equation.2" shapeId="2823000" r:id="rId4"/>
    <oleObject progId="Equation.2" shapeId="560148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Montclair State University</dc:creator>
  <cp:keywords/>
  <dc:description/>
  <cp:lastModifiedBy>Philippe LeBel</cp:lastModifiedBy>
  <dcterms:created xsi:type="dcterms:W3CDTF">1999-04-16T02:21:09Z</dcterms:created>
  <cp:category/>
  <cp:version/>
  <cp:contentType/>
  <cp:contentStatus/>
</cp:coreProperties>
</file>