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40" windowWidth="19060" windowHeight="1476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<sst xmlns="http://schemas.openxmlformats.org/spreadsheetml/2006/main" count="739" uniqueCount="146">
  <si>
    <t xml:space="preserve">        Net Trade Dependency in</t>
  </si>
  <si>
    <t>The domestic pre-trade market equilibrium (price, quantity, total revenue) and initial total social welfare in each country will be:</t>
  </si>
  <si>
    <t>Pre-Trade Domestic Total Social Welfare</t>
  </si>
  <si>
    <t>(ITSW = Initial Total Social Welfare)</t>
  </si>
  <si>
    <t>ITSW =</t>
  </si>
  <si>
    <t>Country A functional Demand intercept</t>
  </si>
  <si>
    <t>Country B functional Demand intercept</t>
  </si>
  <si>
    <t>Country B functional Supply intercept</t>
  </si>
  <si>
    <t>Global Demand Functional Intercept</t>
  </si>
  <si>
    <t>Percent change in Free Trade to Post-Tariff TSW</t>
  </si>
  <si>
    <t>Net Change in Free to Post-Tariff TSW</t>
  </si>
  <si>
    <t>(from step one)</t>
  </si>
  <si>
    <t>Wine</t>
  </si>
  <si>
    <t xml:space="preserve">Case Study-B </t>
  </si>
  <si>
    <t>Graphical Solutions</t>
  </si>
  <si>
    <t>Demand</t>
  </si>
  <si>
    <t>Supply</t>
  </si>
  <si>
    <t>Local Price</t>
  </si>
  <si>
    <t>World Price</t>
  </si>
  <si>
    <t>School of Business</t>
  </si>
  <si>
    <t>Department of Economics and Finance</t>
  </si>
  <si>
    <t>P. LeBel</t>
  </si>
  <si>
    <t>Pd =</t>
  </si>
  <si>
    <t>Qd</t>
  </si>
  <si>
    <t>Ps =</t>
  </si>
  <si>
    <t>Qs</t>
  </si>
  <si>
    <t>Pre-Trade Domestic Equilibrium</t>
  </si>
  <si>
    <t>Quantity</t>
  </si>
  <si>
    <t>Price</t>
  </si>
  <si>
    <t>Total Revenue</t>
  </si>
  <si>
    <r>
      <t xml:space="preserve">(=pre-trade ITSW + post-trade pre-tariff </t>
    </r>
    <r>
      <rPr>
        <sz val="12"/>
        <rFont val="Symbol"/>
        <family val="0"/>
      </rPr>
      <t>D</t>
    </r>
    <r>
      <rPr>
        <sz val="12"/>
        <rFont val="Helv"/>
        <family val="0"/>
      </rPr>
      <t>TSW)</t>
    </r>
  </si>
  <si>
    <t>(=free trade TSW - post-tariff equilibrium relationships)</t>
  </si>
  <si>
    <t>Global Demand Functional Price coefficient</t>
  </si>
  <si>
    <t>Global Demand Inverse Demand Intercept</t>
  </si>
  <si>
    <t>Global Demand Inverse Quantity Coefficient</t>
  </si>
  <si>
    <t xml:space="preserve">        Net Trade Dependency</t>
  </si>
  <si>
    <t>1st Good</t>
  </si>
  <si>
    <t>2nd Good</t>
  </si>
  <si>
    <t>Commodity A</t>
  </si>
  <si>
    <t>Commodity B</t>
  </si>
  <si>
    <t>Pt-Elast Demand:</t>
  </si>
  <si>
    <t>Ethiopia</t>
  </si>
  <si>
    <t>Italy</t>
  </si>
  <si>
    <t>Basic Commodity 1</t>
  </si>
  <si>
    <t>Gold</t>
  </si>
  <si>
    <t xml:space="preserve">Consider two countries who are considering opening up their closed economies to international trade.  </t>
  </si>
  <si>
    <t>Gains and Losses from International Trade and Tariff Protection Version 2</t>
  </si>
  <si>
    <t>Control Panel - Trade and Tariff Economics Version 2</t>
  </si>
  <si>
    <t>Post-Tariff Trade-Based Quantity Demanded</t>
  </si>
  <si>
    <t>Post-Tariff Trade-Based Quantity Supplied</t>
  </si>
  <si>
    <t>Post-Tariff Trade Quantity Balance</t>
  </si>
  <si>
    <t>Net Change in External Quantity Balance</t>
  </si>
  <si>
    <t>Quantity Base Rate of Tariff Protection</t>
  </si>
  <si>
    <t>Tariff Unit Charge</t>
  </si>
  <si>
    <t>for</t>
  </si>
  <si>
    <t>Tariff Revenues</t>
  </si>
  <si>
    <t>©2005</t>
  </si>
  <si>
    <t>Country A</t>
  </si>
  <si>
    <t>Country B</t>
  </si>
  <si>
    <t>Basic Commodity</t>
  </si>
  <si>
    <t>Country A demand intercept</t>
  </si>
  <si>
    <t>Country A demand coefficient</t>
  </si>
  <si>
    <t>Country B demand intercept</t>
  </si>
  <si>
    <t>Country B demand coefficient</t>
  </si>
  <si>
    <t>Textiles</t>
  </si>
  <si>
    <t>Country A supply intercept</t>
  </si>
  <si>
    <t>If countries engage in trade, the global market free trade equilibrium will be determined by:</t>
  </si>
  <si>
    <t>Global Supply Functional Intercept</t>
  </si>
  <si>
    <t>Country B functional Demand Price coefficient</t>
  </si>
  <si>
    <t>Country A functional Demand Price coefficient</t>
  </si>
  <si>
    <t>Pt.Elast Demand:</t>
  </si>
  <si>
    <t>Global Pt. Elast. Demand</t>
  </si>
  <si>
    <t>Country A functional Supply Intercept</t>
  </si>
  <si>
    <t>Country A functional Supply Price Coefficient</t>
  </si>
  <si>
    <t>Country B functional Supply Price Coefficient</t>
  </si>
  <si>
    <t>Global Supply FunctionalPrice Coefficient</t>
  </si>
  <si>
    <t>Global Supply Inverse Intercept</t>
  </si>
  <si>
    <t>Global Supply Quantity Coefficient</t>
  </si>
  <si>
    <t>Case Study Solution Tableau</t>
  </si>
  <si>
    <t>Case Study</t>
  </si>
  <si>
    <t>China</t>
  </si>
  <si>
    <t>India</t>
  </si>
  <si>
    <t>(assuming $0 transport costs)</t>
  </si>
  <si>
    <t>Free Trade Global Social Welfare</t>
  </si>
  <si>
    <t>T/W</t>
  </si>
  <si>
    <t>of the</t>
  </si>
  <si>
    <t>Determine economic welfare under free trade: (Insert the global price into the initial four equations to solve for quantity balances)</t>
  </si>
  <si>
    <t>Net Trade Dependency in</t>
  </si>
  <si>
    <t xml:space="preserve">Free trade increases total social welfare for each country, with a net gain for the global economy. </t>
  </si>
  <si>
    <t>Tariffs (and quotas) reduce free trade and total social welfare, with a net loss for the global economy</t>
  </si>
  <si>
    <t>Countries that impose tariffs and quotas are likely to face reciprocal consequences for their exports</t>
  </si>
  <si>
    <t>Quantity Supplied</t>
  </si>
  <si>
    <t>Balance</t>
  </si>
  <si>
    <t>d.</t>
  </si>
  <si>
    <t>Pre-Trade TSW</t>
  </si>
  <si>
    <t>Net TSW</t>
  </si>
  <si>
    <t>Case Study-B Solution Tableau</t>
  </si>
  <si>
    <t>Version A</t>
  </si>
  <si>
    <t>Version B</t>
  </si>
  <si>
    <t>Portugal</t>
  </si>
  <si>
    <t>England</t>
  </si>
  <si>
    <t>Country A supply coefficient</t>
  </si>
  <si>
    <t>Country B supply intercept</t>
  </si>
  <si>
    <t>Country B supply coefficient</t>
  </si>
  <si>
    <t>Commodity:</t>
  </si>
  <si>
    <t>Montclair State University</t>
  </si>
  <si>
    <t>Montclair State University - School of Business</t>
  </si>
  <si>
    <t>Determine economic welfare under free trade:  (Insert the global price into the initial four equations  to solve for quantity balances)</t>
  </si>
  <si>
    <t>Value of Net Trade at Global Market Prices</t>
  </si>
  <si>
    <t>Before trade, each country has a domestic market equilibrium given by the following relationships.</t>
  </si>
  <si>
    <t>What implications can we derive from the results?</t>
  </si>
  <si>
    <t>Global Market International Trade in</t>
  </si>
  <si>
    <t>Global Equilibrum Quantity</t>
  </si>
  <si>
    <t>Global Equilibrium Price</t>
  </si>
  <si>
    <t>Global Total Social Welfare</t>
  </si>
  <si>
    <t xml:space="preserve">Value of Net Trade at Global Market Prices </t>
  </si>
  <si>
    <t>Net Trade Position</t>
  </si>
  <si>
    <t>Tariff Rate</t>
  </si>
  <si>
    <t>T/G</t>
  </si>
  <si>
    <t>Pre-Trade ITSW</t>
  </si>
  <si>
    <t>Free Trade TSW</t>
  </si>
  <si>
    <t>Post-Tariff TSW</t>
  </si>
  <si>
    <t>Post-tariff trade and comparative social welfare conditions now are:</t>
  </si>
  <si>
    <t>Percent change in Pre-Trade to Free Trade TSW</t>
  </si>
  <si>
    <t>Trade-Based TSW Gain</t>
  </si>
  <si>
    <t>Relative change:</t>
  </si>
  <si>
    <t>e.</t>
  </si>
  <si>
    <t>Derive the commodity-based foreign exchange rate:</t>
  </si>
  <si>
    <t>Consider now the effect of a tariff imposed on the net commodity import for each country set at</t>
  </si>
  <si>
    <t xml:space="preserve"> of the</t>
  </si>
  <si>
    <t>commodity global market equilibrium price.  It now has a value of</t>
  </si>
  <si>
    <t xml:space="preserve"> for </t>
  </si>
  <si>
    <t>and</t>
  </si>
  <si>
    <t>Tariff Price</t>
  </si>
  <si>
    <t>The global market equilibrium P, Q, and TR will be:</t>
  </si>
  <si>
    <t>Global POPED:</t>
  </si>
  <si>
    <t>Quantity Demanded</t>
  </si>
  <si>
    <t>Equilibrum Quantity</t>
  </si>
  <si>
    <t>Equilibrium Price</t>
  </si>
  <si>
    <t>Global TotalRevenue</t>
  </si>
  <si>
    <t>a.</t>
  </si>
  <si>
    <t>Net Quantity Traded:</t>
  </si>
  <si>
    <t>Imports</t>
  </si>
  <si>
    <t>Exports</t>
  </si>
  <si>
    <t>b.</t>
  </si>
  <si>
    <t>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</si>
</sst>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0.\ "/>
    <numFmt numFmtId="166" formatCode="&quot;$&quot;#,##0.00"/>
    <numFmt numFmtId="167" formatCode="&quot;$&quot;#,##0.00;\-&quot;$&quot;#,##0.00"/>
    <numFmt numFmtId="168" formatCode="#,##0.00;\-#,##0.00"/>
    <numFmt numFmtId="169" formatCode="#,##0.0000"/>
    <numFmt numFmtId="170" formatCode="0.0000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Apple Chancery"/>
      <family val="0"/>
    </font>
    <font>
      <sz val="14.75"/>
      <name val="Helv"/>
      <family val="0"/>
    </font>
    <font>
      <sz val="14.5"/>
      <name val="Helv"/>
      <family val="0"/>
    </font>
    <font>
      <sz val="9.25"/>
      <name val="Helv"/>
      <family val="0"/>
    </font>
    <font>
      <b/>
      <sz val="14"/>
      <color indexed="12"/>
      <name val="Helv"/>
      <family val="0"/>
    </font>
    <font>
      <b/>
      <sz val="14.25"/>
      <color indexed="12"/>
      <name val="Helv"/>
      <family val="0"/>
    </font>
    <font>
      <sz val="12"/>
      <name val="Symbo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8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70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0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6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China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25"/>
          <c:y val="0.1175"/>
          <c:w val="0.9435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Sheet1!$C$199:$C$281</c:f>
              <c:numCache/>
            </c:numRef>
          </c:val>
          <c:smooth val="0"/>
        </c:ser>
        <c:ser>
          <c:idx val="2"/>
          <c:order val="1"/>
          <c:tx>
            <c:strRef>
              <c:f>Sheet1!$D$198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Sheet1!$D$199:$D$281</c:f>
              <c:numCache/>
            </c:numRef>
          </c:val>
          <c:smooth val="0"/>
        </c:ser>
        <c:ser>
          <c:idx val="3"/>
          <c:order val="2"/>
          <c:tx>
            <c:strRef>
              <c:f>Sheet1!$E$198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Sheet1!$E$199:$E$281</c:f>
              <c:numCache/>
            </c:numRef>
          </c:val>
          <c:smooth val="0"/>
        </c:ser>
        <c:ser>
          <c:idx val="4"/>
          <c:order val="3"/>
          <c:tx>
            <c:strRef>
              <c:f>Sheet1!$F$198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Sheet1!$F$199:$F$281</c:f>
              <c:numCache/>
            </c:numRef>
          </c:val>
          <c:smooth val="0"/>
        </c:ser>
        <c:ser>
          <c:idx val="5"/>
          <c:order val="4"/>
          <c:tx>
            <c:strRef>
              <c:f>Sheet1!$G$198</c:f>
              <c:strCache>
                <c:ptCount val="1"/>
                <c:pt idx="0">
                  <c:v>Tariff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Sheet1!$G$199:$G$281</c:f>
              <c:numCache/>
            </c:numRef>
          </c:val>
          <c:smooth val="0"/>
        </c:ser>
        <c:marker val="1"/>
        <c:axId val="27559342"/>
        <c:axId val="46707487"/>
      </c:lineChart>
      <c:cat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7487"/>
        <c:crosses val="autoZero"/>
        <c:auto val="1"/>
        <c:lblOffset val="100"/>
        <c:noMultiLvlLbl val="0"/>
      </c:catAx>
      <c:valAx>
        <c:axId val="46707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934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9"/>
          <c:w val="0.91275"/>
          <c:h val="0.05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India Market</a:t>
            </a:r>
          </a:p>
        </c:rich>
      </c:tx>
      <c:layout>
        <c:manualLayout>
          <c:xMode val="factor"/>
          <c:yMode val="factor"/>
          <c:x val="0.00275"/>
          <c:y val="0.010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3"/>
          <c:y val="0.11725"/>
          <c:w val="0.954"/>
          <c:h val="0.794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Sheet1!$I$199:$I$281</c:f>
              <c:numCache/>
            </c:numRef>
          </c:val>
          <c:smooth val="0"/>
        </c:ser>
        <c:ser>
          <c:idx val="2"/>
          <c:order val="1"/>
          <c:tx>
            <c:strRef>
              <c:f>Sheet1!$J$198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Sheet1!$J$199:$J$281</c:f>
              <c:numCache/>
            </c:numRef>
          </c:val>
          <c:smooth val="0"/>
        </c:ser>
        <c:ser>
          <c:idx val="3"/>
          <c:order val="2"/>
          <c:tx>
            <c:strRef>
              <c:f>Sheet1!$K$198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Sheet1!$K$199:$K$281</c:f>
              <c:numCache/>
            </c:numRef>
          </c:val>
          <c:smooth val="0"/>
        </c:ser>
        <c:ser>
          <c:idx val="4"/>
          <c:order val="3"/>
          <c:tx>
            <c:strRef>
              <c:f>Sheet1!$L$198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Sheet1!$L$199:$L$281</c:f>
              <c:numCache/>
            </c:numRef>
          </c:val>
          <c:smooth val="0"/>
        </c:ser>
        <c:axId val="17714200"/>
        <c:axId val="25210073"/>
      </c:lineChart>
      <c:cat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0073"/>
        <c:crosses val="autoZero"/>
        <c:auto val="1"/>
        <c:lblOffset val="100"/>
        <c:noMultiLvlLbl val="0"/>
      </c:catAx>
      <c:valAx>
        <c:axId val="25210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20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2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Portugal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Sheet1!$V$198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Sheet1!$V$199:$V$281</c:f>
            </c:numRef>
          </c:val>
          <c:smooth val="0"/>
        </c:ser>
        <c:ser>
          <c:idx val="2"/>
          <c:order val="1"/>
          <c:tx>
            <c:strRef>
              <c:f>Sheet1!$W$198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Sheet1!$W$199:$W$281</c:f>
            </c:numRef>
          </c:val>
          <c:smooth val="0"/>
        </c:ser>
        <c:ser>
          <c:idx val="3"/>
          <c:order val="2"/>
          <c:tx>
            <c:strRef>
              <c:f>Sheet1!$X$198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Sheet1!$X$199:$X$281</c:f>
            </c:numRef>
          </c:val>
          <c:smooth val="0"/>
        </c:ser>
        <c:ser>
          <c:idx val="4"/>
          <c:order val="3"/>
          <c:tx>
            <c:strRef>
              <c:f>Sheet1!$Y$198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Sheet1!$Y$199:$Y$281</c:f>
            </c:numRef>
          </c:val>
          <c:smooth val="0"/>
        </c:ser>
        <c:marker val="1"/>
        <c:axId val="25564066"/>
        <c:axId val="28750003"/>
      </c:line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50003"/>
        <c:crosses val="autoZero"/>
        <c:auto val="1"/>
        <c:lblOffset val="100"/>
        <c:noMultiLvlLbl val="0"/>
      </c:catAx>
      <c:valAx>
        <c:axId val="28750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6406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England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Sheet1!$AC$198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Sheet1!$AC$199:$AC$281</c:f>
            </c:numRef>
          </c:val>
          <c:smooth val="0"/>
        </c:ser>
        <c:ser>
          <c:idx val="2"/>
          <c:order val="1"/>
          <c:tx>
            <c:strRef>
              <c:f>Sheet1!$AD$198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Sheet1!$AD$199:$AD$281</c:f>
            </c:numRef>
          </c:val>
          <c:smooth val="0"/>
        </c:ser>
        <c:ser>
          <c:idx val="3"/>
          <c:order val="2"/>
          <c:tx>
            <c:strRef>
              <c:f>Sheet1!$AE$198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Sheet1!$AE$199:$AE$281</c:f>
            </c:numRef>
          </c:val>
          <c:smooth val="0"/>
        </c:ser>
        <c:ser>
          <c:idx val="4"/>
          <c:order val="3"/>
          <c:tx>
            <c:strRef>
              <c:f>Sheet1!$AF$198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Sheet1!$AF$199:$AF$281</c:f>
            </c:numRef>
          </c:val>
          <c:smooth val="0"/>
        </c:ser>
        <c:axId val="57423436"/>
        <c:axId val="47048877"/>
      </c:lineChart>
      <c:catAx>
        <c:axId val="574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48877"/>
        <c:crosses val="autoZero"/>
        <c:auto val="1"/>
        <c:lblOffset val="100"/>
        <c:noMultiLvlLbl val="0"/>
      </c:catAx>
      <c:valAx>
        <c:axId val="4704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2343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185</xdr:row>
      <xdr:rowOff>123825</xdr:rowOff>
    </xdr:from>
    <xdr:to>
      <xdr:col>7</xdr:col>
      <xdr:colOff>466725</xdr:colOff>
      <xdr:row>301</xdr:row>
      <xdr:rowOff>66675</xdr:rowOff>
    </xdr:to>
    <xdr:graphicFrame>
      <xdr:nvGraphicFramePr>
        <xdr:cNvPr id="1" name="Chart 1"/>
        <xdr:cNvGraphicFramePr/>
      </xdr:nvGraphicFramePr>
      <xdr:xfrm>
        <a:off x="876300" y="32032575"/>
        <a:ext cx="5276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185</xdr:row>
      <xdr:rowOff>114300</xdr:rowOff>
    </xdr:from>
    <xdr:to>
      <xdr:col>14</xdr:col>
      <xdr:colOff>9525</xdr:colOff>
      <xdr:row>301</xdr:row>
      <xdr:rowOff>123825</xdr:rowOff>
    </xdr:to>
    <xdr:graphicFrame>
      <xdr:nvGraphicFramePr>
        <xdr:cNvPr id="2" name="Chart 2"/>
        <xdr:cNvGraphicFramePr/>
      </xdr:nvGraphicFramePr>
      <xdr:xfrm>
        <a:off x="6219825" y="32023050"/>
        <a:ext cx="48768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187</xdr:row>
      <xdr:rowOff>0</xdr:rowOff>
    </xdr:from>
    <xdr:to>
      <xdr:col>25</xdr:col>
      <xdr:colOff>400050</xdr:colOff>
      <xdr:row>301</xdr:row>
      <xdr:rowOff>114300</xdr:rowOff>
    </xdr:to>
    <xdr:graphicFrame>
      <xdr:nvGraphicFramePr>
        <xdr:cNvPr id="3" name="Chart 3"/>
        <xdr:cNvGraphicFramePr/>
      </xdr:nvGraphicFramePr>
      <xdr:xfrm>
        <a:off x="12458700" y="32080200"/>
        <a:ext cx="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514350</xdr:colOff>
      <xdr:row>188</xdr:row>
      <xdr:rowOff>0</xdr:rowOff>
    </xdr:from>
    <xdr:to>
      <xdr:col>30</xdr:col>
      <xdr:colOff>657225</xdr:colOff>
      <xdr:row>301</xdr:row>
      <xdr:rowOff>133350</xdr:rowOff>
    </xdr:to>
    <xdr:graphicFrame>
      <xdr:nvGraphicFramePr>
        <xdr:cNvPr id="4" name="Chart 4"/>
        <xdr:cNvGraphicFramePr/>
      </xdr:nvGraphicFramePr>
      <xdr:xfrm>
        <a:off x="12458700" y="32089725"/>
        <a:ext cx="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51"/>
  <sheetViews>
    <sheetView tabSelected="1" workbookViewId="0" topLeftCell="B1">
      <selection activeCell="C4" sqref="C4"/>
    </sheetView>
  </sheetViews>
  <sheetFormatPr defaultColWidth="11.5546875" defaultRowHeight="15.75"/>
  <cols>
    <col min="1" max="1" width="10.6640625" style="1" customWidth="1"/>
    <col min="2" max="2" width="5.88671875" style="1" customWidth="1"/>
    <col min="3" max="3" width="7.99609375" style="1" customWidth="1"/>
    <col min="4" max="4" width="7.10546875" style="1" customWidth="1"/>
    <col min="5" max="5" width="10.99609375" style="1" bestFit="1" customWidth="1"/>
    <col min="6" max="6" width="10.6640625" style="1" customWidth="1"/>
    <col min="7" max="7" width="12.99609375" style="1" customWidth="1"/>
    <col min="8" max="9" width="10.6640625" style="1" customWidth="1"/>
    <col min="10" max="10" width="10.4453125" style="1" customWidth="1"/>
    <col min="11" max="11" width="9.88671875" style="1" customWidth="1"/>
    <col min="12" max="12" width="10.6640625" style="1" customWidth="1"/>
    <col min="13" max="17" width="5.3359375" style="1" customWidth="1"/>
    <col min="18" max="19" width="5.3359375" style="1" hidden="1" customWidth="1"/>
    <col min="20" max="20" width="6.99609375" style="1" hidden="1" customWidth="1"/>
    <col min="21" max="21" width="10.88671875" style="1" hidden="1" customWidth="1"/>
    <col min="22" max="22" width="11.4453125" style="1" hidden="1" customWidth="1"/>
    <col min="23" max="24" width="0" style="1" hidden="1" customWidth="1"/>
    <col min="25" max="25" width="7.6640625" style="1" hidden="1" customWidth="1"/>
    <col min="26" max="26" width="12.99609375" style="1" hidden="1" customWidth="1"/>
    <col min="27" max="27" width="9.88671875" style="1" hidden="1" customWidth="1"/>
    <col min="28" max="28" width="12.4453125" style="1" hidden="1" customWidth="1"/>
    <col min="29" max="29" width="10.88671875" style="1" hidden="1" customWidth="1"/>
    <col min="30" max="30" width="10.4453125" style="1" hidden="1" customWidth="1"/>
    <col min="31" max="31" width="9.5546875" style="1" hidden="1" customWidth="1"/>
    <col min="32" max="32" width="9.10546875" style="1" hidden="1" customWidth="1"/>
    <col min="33" max="34" width="8.10546875" style="1" customWidth="1"/>
    <col min="35" max="35" width="10.3359375" style="1" customWidth="1"/>
    <col min="36" max="36" width="6.5546875" style="1" customWidth="1"/>
    <col min="37" max="37" width="10.6640625" style="1" customWidth="1"/>
    <col min="38" max="38" width="10.6640625" style="13" customWidth="1"/>
    <col min="39" max="39" width="10.6640625" style="18" customWidth="1"/>
    <col min="40" max="16384" width="10.6640625" style="1" customWidth="1"/>
  </cols>
  <sheetData>
    <row r="1" spans="2:39" s="23" customFormat="1" ht="24">
      <c r="B1" s="1"/>
      <c r="C1" s="1"/>
      <c r="D1" s="1"/>
      <c r="E1" s="1"/>
      <c r="F1" s="1"/>
      <c r="G1" s="56" t="s">
        <v>105</v>
      </c>
      <c r="T1" s="1"/>
      <c r="U1" s="1"/>
      <c r="V1" s="1"/>
      <c r="W1" s="1"/>
      <c r="X1" s="1"/>
      <c r="Y1" s="56" t="s">
        <v>105</v>
      </c>
      <c r="Z1" s="56"/>
      <c r="AL1" s="24"/>
      <c r="AM1" s="57" t="s">
        <v>106</v>
      </c>
    </row>
    <row r="2" spans="2:42" ht="13.5" thickBot="1">
      <c r="B2" s="23"/>
      <c r="C2" s="23"/>
      <c r="D2" s="23"/>
      <c r="E2" s="23"/>
      <c r="F2" s="23"/>
      <c r="G2" s="2" t="s">
        <v>19</v>
      </c>
      <c r="T2" s="23"/>
      <c r="U2" s="23"/>
      <c r="V2" s="23"/>
      <c r="W2" s="23"/>
      <c r="X2" s="23"/>
      <c r="Y2" s="2" t="s">
        <v>19</v>
      </c>
      <c r="Z2" s="2"/>
      <c r="AM2" s="16" t="s">
        <v>20</v>
      </c>
      <c r="AP2" s="3" t="s">
        <v>21</v>
      </c>
    </row>
    <row r="3" spans="2:44" s="23" customFormat="1" ht="13.5" thickBot="1">
      <c r="B3" s="1"/>
      <c r="C3" s="1" t="s">
        <v>56</v>
      </c>
      <c r="D3" s="1"/>
      <c r="E3" s="1"/>
      <c r="F3" s="1"/>
      <c r="G3" s="2" t="s">
        <v>20</v>
      </c>
      <c r="H3" s="1"/>
      <c r="I3" s="1"/>
      <c r="K3" s="1"/>
      <c r="L3" s="3" t="s">
        <v>21</v>
      </c>
      <c r="M3" s="3"/>
      <c r="N3" s="3"/>
      <c r="O3" s="3"/>
      <c r="P3" s="3"/>
      <c r="Q3" s="3"/>
      <c r="R3" s="3"/>
      <c r="S3" s="3"/>
      <c r="T3" s="1"/>
      <c r="U3" s="1" t="s">
        <v>56</v>
      </c>
      <c r="V3" s="1"/>
      <c r="W3" s="1"/>
      <c r="X3" s="1"/>
      <c r="Y3" s="2" t="s">
        <v>20</v>
      </c>
      <c r="Z3" s="2"/>
      <c r="AA3" s="1"/>
      <c r="AB3" s="1"/>
      <c r="AD3" s="1"/>
      <c r="AE3" s="3" t="s">
        <v>21</v>
      </c>
      <c r="AF3" s="8"/>
      <c r="AG3" s="8"/>
      <c r="AH3" s="8"/>
      <c r="AI3" s="8"/>
      <c r="AJ3" s="8"/>
      <c r="AK3" s="21"/>
      <c r="AL3" s="14"/>
      <c r="AM3" s="17" t="s">
        <v>47</v>
      </c>
      <c r="AN3" s="5"/>
      <c r="AO3" s="5"/>
      <c r="AP3" s="7"/>
      <c r="AQ3" s="8"/>
      <c r="AR3" s="8"/>
    </row>
    <row r="4" spans="3:42" s="23" customFormat="1" ht="13.5" thickBot="1">
      <c r="C4" s="25"/>
      <c r="D4" s="5"/>
      <c r="E4" s="5"/>
      <c r="F4" s="5"/>
      <c r="G4" s="6" t="s">
        <v>46</v>
      </c>
      <c r="H4" s="5"/>
      <c r="I4" s="5"/>
      <c r="J4" s="5"/>
      <c r="K4" s="7"/>
      <c r="U4" s="25"/>
      <c r="V4" s="5"/>
      <c r="W4" s="5"/>
      <c r="X4" s="5"/>
      <c r="Y4" s="6" t="s">
        <v>46</v>
      </c>
      <c r="Z4" s="6"/>
      <c r="AA4" s="5"/>
      <c r="AB4" s="5"/>
      <c r="AC4" s="7"/>
      <c r="AD4" s="8"/>
      <c r="AL4" s="24"/>
      <c r="AM4" s="16" t="s">
        <v>97</v>
      </c>
      <c r="AN4" s="15" t="s">
        <v>98</v>
      </c>
      <c r="AO4" s="16" t="s">
        <v>97</v>
      </c>
      <c r="AP4" s="23">
        <v>0.8</v>
      </c>
    </row>
    <row r="5" spans="2:41" ht="15" customHeight="1" thickBot="1">
      <c r="B5" s="23"/>
      <c r="C5" s="23"/>
      <c r="D5" s="23"/>
      <c r="E5" s="26"/>
      <c r="F5" s="27"/>
      <c r="G5" s="11" t="s">
        <v>79</v>
      </c>
      <c r="H5" s="10"/>
      <c r="I5" s="12"/>
      <c r="T5" s="23"/>
      <c r="U5" s="23"/>
      <c r="V5" s="23"/>
      <c r="W5" s="26"/>
      <c r="X5" s="27"/>
      <c r="Y5" s="11" t="s">
        <v>13</v>
      </c>
      <c r="Z5" s="11"/>
      <c r="AA5" s="10"/>
      <c r="AB5" s="12"/>
      <c r="AI5" s="1" t="s">
        <v>36</v>
      </c>
      <c r="AJ5" s="60"/>
      <c r="AK5" s="61"/>
      <c r="AL5" s="62" t="s">
        <v>57</v>
      </c>
      <c r="AM5" s="19" t="s">
        <v>80</v>
      </c>
      <c r="AN5" s="58" t="s">
        <v>99</v>
      </c>
      <c r="AO5" s="19" t="s">
        <v>41</v>
      </c>
    </row>
    <row r="6" spans="3:41" ht="13.5" thickBot="1">
      <c r="C6" s="1" t="s">
        <v>45</v>
      </c>
      <c r="U6" s="1" t="s">
        <v>45</v>
      </c>
      <c r="AJ6" s="12"/>
      <c r="AK6" s="4"/>
      <c r="AL6" s="63" t="s">
        <v>58</v>
      </c>
      <c r="AM6" s="19" t="s">
        <v>81</v>
      </c>
      <c r="AN6" s="58" t="s">
        <v>100</v>
      </c>
      <c r="AO6" s="19" t="s">
        <v>42</v>
      </c>
    </row>
    <row r="7" spans="3:41" ht="13.5" thickBot="1">
      <c r="C7" s="1" t="s">
        <v>109</v>
      </c>
      <c r="U7" s="1" t="s">
        <v>109</v>
      </c>
      <c r="AJ7" s="12"/>
      <c r="AK7" s="4"/>
      <c r="AL7" s="63" t="s">
        <v>43</v>
      </c>
      <c r="AM7" s="19" t="s">
        <v>44</v>
      </c>
      <c r="AN7" s="58" t="s">
        <v>12</v>
      </c>
      <c r="AO7" s="19" t="s">
        <v>44</v>
      </c>
    </row>
    <row r="8" spans="5:41" ht="13.5" thickBot="1">
      <c r="E8" s="2" t="str">
        <f>$AM$5</f>
        <v>China</v>
      </c>
      <c r="J8" s="2" t="str">
        <f>$AM$6</f>
        <v>India</v>
      </c>
      <c r="W8" s="2" t="str">
        <f>$AN$5</f>
        <v>Portugal</v>
      </c>
      <c r="AC8" s="2" t="str">
        <f>$AN$6</f>
        <v>England</v>
      </c>
      <c r="AJ8" s="12"/>
      <c r="AK8" s="4"/>
      <c r="AL8" s="63" t="s">
        <v>60</v>
      </c>
      <c r="AM8" s="52">
        <f>AO8*$AP$4</f>
        <v>200</v>
      </c>
      <c r="AN8" s="52">
        <v>280</v>
      </c>
      <c r="AO8" s="52">
        <v>250</v>
      </c>
    </row>
    <row r="9" spans="4:41" ht="13.5" thickBot="1">
      <c r="D9" s="3" t="s">
        <v>104</v>
      </c>
      <c r="E9" s="16" t="str">
        <f>$AM$7</f>
        <v>Gold</v>
      </c>
      <c r="H9" s="3"/>
      <c r="I9" s="3" t="s">
        <v>104</v>
      </c>
      <c r="J9" s="16" t="str">
        <f>$AM$7</f>
        <v>Gold</v>
      </c>
      <c r="V9" s="3" t="s">
        <v>104</v>
      </c>
      <c r="W9" s="16" t="str">
        <f>$AN$7</f>
        <v>Wine</v>
      </c>
      <c r="AA9" s="3"/>
      <c r="AB9" s="3" t="s">
        <v>104</v>
      </c>
      <c r="AC9" s="16" t="str">
        <f>$AN$7</f>
        <v>Wine</v>
      </c>
      <c r="AJ9" s="12"/>
      <c r="AK9" s="4"/>
      <c r="AL9" s="63" t="s">
        <v>61</v>
      </c>
      <c r="AM9" s="52">
        <f aca="true" t="shared" si="0" ref="AM9:AM15">AO9*$AP$4</f>
        <v>-8</v>
      </c>
      <c r="AN9" s="52">
        <v>-8</v>
      </c>
      <c r="AO9" s="52">
        <v>-10</v>
      </c>
    </row>
    <row r="10" spans="3:41" ht="13.5" thickBot="1">
      <c r="C10" s="29" t="s">
        <v>22</v>
      </c>
      <c r="D10" s="30">
        <f>$AM$8</f>
        <v>200</v>
      </c>
      <c r="E10" s="30">
        <f>$AM$9</f>
        <v>-8</v>
      </c>
      <c r="F10" s="31" t="s">
        <v>23</v>
      </c>
      <c r="H10" s="29" t="s">
        <v>22</v>
      </c>
      <c r="I10" s="30">
        <f>$AM$12</f>
        <v>480</v>
      </c>
      <c r="J10" s="30">
        <f>$AM$13</f>
        <v>-4</v>
      </c>
      <c r="K10" s="31" t="s">
        <v>23</v>
      </c>
      <c r="U10" s="29" t="s">
        <v>22</v>
      </c>
      <c r="V10" s="30">
        <f>$AN$8</f>
        <v>280</v>
      </c>
      <c r="W10" s="30">
        <f>$AN$9</f>
        <v>-8</v>
      </c>
      <c r="X10" s="31" t="s">
        <v>23</v>
      </c>
      <c r="AA10" s="29" t="s">
        <v>22</v>
      </c>
      <c r="AB10" s="30">
        <f>$AN$12</f>
        <v>450</v>
      </c>
      <c r="AC10" s="30">
        <f>$AN$13</f>
        <v>-4</v>
      </c>
      <c r="AD10" s="31" t="s">
        <v>23</v>
      </c>
      <c r="AJ10" s="12"/>
      <c r="AK10" s="4"/>
      <c r="AL10" s="63" t="s">
        <v>65</v>
      </c>
      <c r="AM10" s="52">
        <f t="shared" si="0"/>
        <v>32</v>
      </c>
      <c r="AN10" s="52">
        <v>42</v>
      </c>
      <c r="AO10" s="52">
        <v>40</v>
      </c>
    </row>
    <row r="11" spans="3:41" ht="13.5" thickBot="1">
      <c r="C11" s="29" t="s">
        <v>24</v>
      </c>
      <c r="D11" s="30">
        <f>$AM$10</f>
        <v>32</v>
      </c>
      <c r="E11" s="32">
        <f>$AM$11</f>
        <v>6.4</v>
      </c>
      <c r="F11" s="31" t="s">
        <v>25</v>
      </c>
      <c r="H11" s="29" t="s">
        <v>24</v>
      </c>
      <c r="I11" s="30">
        <f>$AM$14</f>
        <v>100</v>
      </c>
      <c r="J11" s="32">
        <f>$AM$15</f>
        <v>1.6</v>
      </c>
      <c r="K11" s="31" t="s">
        <v>25</v>
      </c>
      <c r="U11" s="29" t="s">
        <v>24</v>
      </c>
      <c r="V11" s="30">
        <f>$AN$10</f>
        <v>42</v>
      </c>
      <c r="W11" s="32">
        <f>$AN$11</f>
        <v>6</v>
      </c>
      <c r="X11" s="31" t="s">
        <v>25</v>
      </c>
      <c r="AA11" s="29" t="s">
        <v>24</v>
      </c>
      <c r="AB11" s="30">
        <f>$AN$14</f>
        <v>120</v>
      </c>
      <c r="AC11" s="32">
        <f>$AN$15</f>
        <v>4</v>
      </c>
      <c r="AD11" s="31" t="s">
        <v>25</v>
      </c>
      <c r="AJ11" s="12"/>
      <c r="AK11" s="4"/>
      <c r="AL11" s="63" t="s">
        <v>101</v>
      </c>
      <c r="AM11" s="52">
        <f t="shared" si="0"/>
        <v>6.4</v>
      </c>
      <c r="AN11" s="52">
        <v>6</v>
      </c>
      <c r="AO11" s="52">
        <v>8</v>
      </c>
    </row>
    <row r="12" spans="5:41" ht="13.5" thickBot="1">
      <c r="E12" s="2" t="str">
        <f>$AM$5</f>
        <v>China</v>
      </c>
      <c r="J12" s="2" t="str">
        <f>$AM$6</f>
        <v>India</v>
      </c>
      <c r="W12" s="2" t="str">
        <f>$AN$5</f>
        <v>Portugal</v>
      </c>
      <c r="AC12" s="2" t="str">
        <f>$AN$6</f>
        <v>England</v>
      </c>
      <c r="AJ12" s="12"/>
      <c r="AK12" s="4"/>
      <c r="AL12" s="63" t="s">
        <v>62</v>
      </c>
      <c r="AM12" s="52">
        <f t="shared" si="0"/>
        <v>480</v>
      </c>
      <c r="AN12" s="52">
        <v>450</v>
      </c>
      <c r="AO12" s="52">
        <v>600</v>
      </c>
    </row>
    <row r="13" spans="4:41" ht="13.5" thickBot="1">
      <c r="D13" s="3" t="s">
        <v>104</v>
      </c>
      <c r="E13" s="16" t="str">
        <f>$AM$35</f>
        <v>Textiles</v>
      </c>
      <c r="H13" s="3"/>
      <c r="I13" s="3" t="s">
        <v>104</v>
      </c>
      <c r="J13" s="16" t="str">
        <f>$AM$35</f>
        <v>Textiles</v>
      </c>
      <c r="V13" s="3" t="s">
        <v>104</v>
      </c>
      <c r="W13" s="16" t="str">
        <f>$AN$35</f>
        <v>Textiles</v>
      </c>
      <c r="AA13" s="3"/>
      <c r="AB13" s="3" t="s">
        <v>104</v>
      </c>
      <c r="AC13" s="16" t="str">
        <f>$AN$35</f>
        <v>Textiles</v>
      </c>
      <c r="AJ13" s="12"/>
      <c r="AK13" s="4"/>
      <c r="AL13" s="63" t="s">
        <v>63</v>
      </c>
      <c r="AM13" s="52">
        <f t="shared" si="0"/>
        <v>-4</v>
      </c>
      <c r="AN13" s="52">
        <v>-4</v>
      </c>
      <c r="AO13" s="52">
        <v>-5</v>
      </c>
    </row>
    <row r="14" spans="3:41" ht="13.5" thickBot="1">
      <c r="C14" s="29" t="s">
        <v>22</v>
      </c>
      <c r="D14" s="30">
        <f>$AM$36</f>
        <v>360</v>
      </c>
      <c r="E14" s="30">
        <f>$AM$37</f>
        <v>-3.2</v>
      </c>
      <c r="F14" s="31" t="s">
        <v>23</v>
      </c>
      <c r="H14" s="29" t="s">
        <v>22</v>
      </c>
      <c r="I14" s="30">
        <f>$AM$40</f>
        <v>192</v>
      </c>
      <c r="J14" s="30">
        <f>$AM$41</f>
        <v>-6.4</v>
      </c>
      <c r="K14" s="31" t="s">
        <v>23</v>
      </c>
      <c r="U14" s="29" t="s">
        <v>22</v>
      </c>
      <c r="V14" s="30">
        <f>$AN$36</f>
        <v>440</v>
      </c>
      <c r="W14" s="30">
        <f>$AN$37</f>
        <v>-6</v>
      </c>
      <c r="X14" s="31" t="s">
        <v>23</v>
      </c>
      <c r="AA14" s="29" t="s">
        <v>22</v>
      </c>
      <c r="AB14" s="30">
        <f>$AN$40</f>
        <v>260</v>
      </c>
      <c r="AC14" s="30">
        <f>$AN$41</f>
        <v>-10</v>
      </c>
      <c r="AD14" s="31" t="s">
        <v>23</v>
      </c>
      <c r="AJ14" s="12"/>
      <c r="AK14" s="4"/>
      <c r="AL14" s="63" t="s">
        <v>102</v>
      </c>
      <c r="AM14" s="52">
        <f t="shared" si="0"/>
        <v>100</v>
      </c>
      <c r="AN14" s="52">
        <v>120</v>
      </c>
      <c r="AO14" s="52">
        <v>125</v>
      </c>
    </row>
    <row r="15" spans="3:41" ht="13.5" thickBot="1">
      <c r="C15" s="29" t="s">
        <v>24</v>
      </c>
      <c r="D15" s="30">
        <f>$AM$38</f>
        <v>96</v>
      </c>
      <c r="E15" s="32">
        <f>$AM$39</f>
        <v>2</v>
      </c>
      <c r="F15" s="31" t="s">
        <v>25</v>
      </c>
      <c r="H15" s="29" t="s">
        <v>24</v>
      </c>
      <c r="I15" s="30">
        <f>$AM$42</f>
        <v>28</v>
      </c>
      <c r="J15" s="32">
        <f>$AM$43</f>
        <v>4.800000000000001</v>
      </c>
      <c r="K15" s="31" t="s">
        <v>25</v>
      </c>
      <c r="U15" s="29" t="s">
        <v>24</v>
      </c>
      <c r="V15" s="30">
        <f>$AN$38</f>
        <v>124</v>
      </c>
      <c r="W15" s="32">
        <f>$AN$39</f>
        <v>4</v>
      </c>
      <c r="X15" s="31" t="s">
        <v>25</v>
      </c>
      <c r="AA15" s="29" t="s">
        <v>24</v>
      </c>
      <c r="AB15" s="30">
        <f>$AN$42</f>
        <v>40</v>
      </c>
      <c r="AC15" s="32">
        <f>$AN$43</f>
        <v>8</v>
      </c>
      <c r="AD15" s="31" t="s">
        <v>25</v>
      </c>
      <c r="AJ15" s="12"/>
      <c r="AK15" s="4"/>
      <c r="AL15" s="63" t="s">
        <v>103</v>
      </c>
      <c r="AM15" s="52">
        <f t="shared" si="0"/>
        <v>1.6</v>
      </c>
      <c r="AN15" s="52">
        <v>4</v>
      </c>
      <c r="AO15" s="52">
        <v>2</v>
      </c>
    </row>
    <row r="16" spans="2:41" ht="13.5" thickBot="1">
      <c r="B16" s="33">
        <v>1</v>
      </c>
      <c r="C16" s="1" t="s">
        <v>1</v>
      </c>
      <c r="T16" s="33">
        <v>1</v>
      </c>
      <c r="U16" s="1" t="s">
        <v>1</v>
      </c>
      <c r="AJ16" s="64"/>
      <c r="AK16" s="10"/>
      <c r="AL16" s="65" t="s">
        <v>117</v>
      </c>
      <c r="AM16" s="52">
        <f>AO16*$AP$4</f>
        <v>0.08000000000000002</v>
      </c>
      <c r="AN16" s="59">
        <v>0.05</v>
      </c>
      <c r="AO16" s="52">
        <v>0.1</v>
      </c>
    </row>
    <row r="17" spans="5:41" ht="13.5" thickBot="1">
      <c r="E17" s="67" t="s">
        <v>38</v>
      </c>
      <c r="F17" s="68" t="str">
        <f>$E$99</f>
        <v>Gold</v>
      </c>
      <c r="I17" s="3" t="s">
        <v>39</v>
      </c>
      <c r="J17" s="68" t="str">
        <f>$J$103</f>
        <v>Textiles</v>
      </c>
      <c r="X17" s="3" t="s">
        <v>38</v>
      </c>
      <c r="Y17" s="15" t="str">
        <f>$AN$7</f>
        <v>Wine</v>
      </c>
      <c r="Z17" s="15"/>
      <c r="AC17" s="3" t="s">
        <v>39</v>
      </c>
      <c r="AD17" s="15" t="str">
        <f>$AN$35</f>
        <v>Textiles</v>
      </c>
      <c r="AL17" s="13" t="s">
        <v>5</v>
      </c>
      <c r="AM17" s="20">
        <f>AM8/-AM9</f>
        <v>25</v>
      </c>
      <c r="AN17" s="20">
        <f>AN8/-AN9</f>
        <v>35</v>
      </c>
      <c r="AO17" s="20">
        <f>AO8/-AO9</f>
        <v>25</v>
      </c>
    </row>
    <row r="18" spans="5:41" ht="13.5" thickBot="1">
      <c r="E18" s="2" t="s">
        <v>26</v>
      </c>
      <c r="I18" s="2" t="s">
        <v>26</v>
      </c>
      <c r="W18" s="2" t="s">
        <v>26</v>
      </c>
      <c r="AC18" s="2" t="s">
        <v>26</v>
      </c>
      <c r="AL18" s="13" t="s">
        <v>6</v>
      </c>
      <c r="AM18" s="20">
        <f>AM12/-AM13</f>
        <v>120</v>
      </c>
      <c r="AN18" s="20">
        <f>AN12/-AN13</f>
        <v>112.5</v>
      </c>
      <c r="AO18" s="20">
        <f>AO12/-AO13</f>
        <v>120</v>
      </c>
    </row>
    <row r="19" spans="5:41" ht="13.5" thickBot="1">
      <c r="E19" s="34" t="str">
        <f>$AM$5</f>
        <v>China</v>
      </c>
      <c r="F19" s="19" t="str">
        <f>$AM$6</f>
        <v>India</v>
      </c>
      <c r="I19" s="34" t="str">
        <f>$AM$5</f>
        <v>China</v>
      </c>
      <c r="J19" s="19" t="str">
        <f>$AM$6</f>
        <v>India</v>
      </c>
      <c r="W19" s="34" t="str">
        <f>$AN$5</f>
        <v>Portugal</v>
      </c>
      <c r="X19" s="19" t="str">
        <f>$AN$6</f>
        <v>England</v>
      </c>
      <c r="AC19" s="34" t="str">
        <f>$AN$5</f>
        <v>Portugal</v>
      </c>
      <c r="AD19" s="19" t="str">
        <f>$AN$6</f>
        <v>England</v>
      </c>
      <c r="AL19" s="13" t="s">
        <v>69</v>
      </c>
      <c r="AM19" s="20">
        <f>1/AM9</f>
        <v>-0.125</v>
      </c>
      <c r="AN19" s="20">
        <f>1/AN9</f>
        <v>-0.125</v>
      </c>
      <c r="AO19" s="20">
        <f>1/AO9</f>
        <v>-0.1</v>
      </c>
    </row>
    <row r="20" spans="4:41" ht="13.5" thickBot="1">
      <c r="D20" s="3" t="s">
        <v>27</v>
      </c>
      <c r="E20" s="20"/>
      <c r="F20" s="20"/>
      <c r="H20" s="3" t="s">
        <v>27</v>
      </c>
      <c r="I20" s="20"/>
      <c r="J20" s="20"/>
      <c r="V20" s="3" t="s">
        <v>27</v>
      </c>
      <c r="W20" s="20"/>
      <c r="X20" s="20"/>
      <c r="AB20" s="3" t="s">
        <v>27</v>
      </c>
      <c r="AC20" s="20"/>
      <c r="AD20" s="20"/>
      <c r="AL20" s="13" t="s">
        <v>68</v>
      </c>
      <c r="AM20" s="20">
        <f>1/AM13</f>
        <v>-0.25</v>
      </c>
      <c r="AN20" s="20">
        <f>1/AN13</f>
        <v>-0.25</v>
      </c>
      <c r="AO20" s="20">
        <f>1/AO13</f>
        <v>-0.2</v>
      </c>
    </row>
    <row r="21" spans="4:52" ht="13.5" thickBot="1">
      <c r="D21" s="3" t="s">
        <v>28</v>
      </c>
      <c r="E21" s="35"/>
      <c r="F21" s="35"/>
      <c r="H21" s="3" t="s">
        <v>28</v>
      </c>
      <c r="I21" s="35"/>
      <c r="J21" s="35"/>
      <c r="V21" s="3" t="s">
        <v>28</v>
      </c>
      <c r="W21" s="35"/>
      <c r="X21" s="35"/>
      <c r="AB21" s="3" t="s">
        <v>28</v>
      </c>
      <c r="AC21" s="35"/>
      <c r="AD21" s="35"/>
      <c r="AL21" s="13" t="s">
        <v>8</v>
      </c>
      <c r="AM21" s="20">
        <f>AM17+AM18</f>
        <v>145</v>
      </c>
      <c r="AN21" s="20">
        <f>AN17+AN18</f>
        <v>147.5</v>
      </c>
      <c r="AO21" s="20">
        <f>AO17+AO18</f>
        <v>145</v>
      </c>
      <c r="AY21" s="37"/>
      <c r="AZ21" s="37"/>
    </row>
    <row r="22" spans="4:53" ht="13.5" thickBot="1">
      <c r="D22" s="3" t="s">
        <v>29</v>
      </c>
      <c r="E22" s="35"/>
      <c r="F22" s="35"/>
      <c r="H22" s="3" t="s">
        <v>29</v>
      </c>
      <c r="I22" s="35"/>
      <c r="J22" s="35"/>
      <c r="V22" s="3" t="s">
        <v>29</v>
      </c>
      <c r="W22" s="35"/>
      <c r="X22" s="35"/>
      <c r="AB22" s="3" t="s">
        <v>29</v>
      </c>
      <c r="AC22" s="35"/>
      <c r="AD22" s="35"/>
      <c r="AL22" s="13" t="s">
        <v>32</v>
      </c>
      <c r="AM22" s="20">
        <f>AM19+AM20</f>
        <v>-0.375</v>
      </c>
      <c r="AN22" s="20">
        <f>AN19+AN20</f>
        <v>-0.375</v>
      </c>
      <c r="AO22" s="20">
        <f>AO19+AO20</f>
        <v>-0.30000000000000004</v>
      </c>
      <c r="AW22" s="18"/>
      <c r="BA22" s="18"/>
    </row>
    <row r="23" spans="4:53" ht="13.5" thickBot="1">
      <c r="D23" s="3" t="s">
        <v>40</v>
      </c>
      <c r="E23" s="36"/>
      <c r="F23" s="36"/>
      <c r="G23" s="66"/>
      <c r="H23" s="3" t="s">
        <v>70</v>
      </c>
      <c r="I23" s="36"/>
      <c r="J23" s="36"/>
      <c r="V23" s="3" t="s">
        <v>70</v>
      </c>
      <c r="W23" s="36"/>
      <c r="X23" s="36"/>
      <c r="AB23" s="3" t="s">
        <v>70</v>
      </c>
      <c r="AC23" s="36"/>
      <c r="AD23" s="36"/>
      <c r="AL23" s="13" t="s">
        <v>33</v>
      </c>
      <c r="AM23" s="85">
        <f>AM21/-AM22</f>
        <v>386.6666666666667</v>
      </c>
      <c r="AN23" s="85">
        <f>AN21/-AN22</f>
        <v>393.3333333333333</v>
      </c>
      <c r="AO23" s="85">
        <f>AO21/-AO22</f>
        <v>483.33333333333326</v>
      </c>
      <c r="AW23" s="41"/>
      <c r="BA23" s="41"/>
    </row>
    <row r="24" spans="6:53" ht="13.5" thickBot="1">
      <c r="F24" s="3" t="s">
        <v>2</v>
      </c>
      <c r="G24" s="66"/>
      <c r="J24" s="3" t="s">
        <v>2</v>
      </c>
      <c r="V24" s="3"/>
      <c r="W24" s="66"/>
      <c r="X24" s="3" t="s">
        <v>2</v>
      </c>
      <c r="AB24" s="3"/>
      <c r="AC24" s="66"/>
      <c r="AD24" s="3" t="s">
        <v>2</v>
      </c>
      <c r="AL24" s="13" t="s">
        <v>34</v>
      </c>
      <c r="AM24" s="85">
        <f>1/AM22</f>
        <v>-2.6666666666666665</v>
      </c>
      <c r="AN24" s="85">
        <f>1/AN22</f>
        <v>-2.6666666666666665</v>
      </c>
      <c r="AO24" s="85">
        <f>1/AO22</f>
        <v>-3.333333333333333</v>
      </c>
      <c r="AW24" s="41"/>
      <c r="AZ24" s="41"/>
      <c r="BA24" s="41"/>
    </row>
    <row r="25" spans="5:41" ht="13.5" thickBot="1">
      <c r="E25" s="19" t="str">
        <f>$E$109</f>
        <v>China</v>
      </c>
      <c r="F25" s="19" t="str">
        <f>$F$109</f>
        <v>India</v>
      </c>
      <c r="G25" s="66"/>
      <c r="I25" s="19" t="str">
        <f>$E$109</f>
        <v>China</v>
      </c>
      <c r="J25" s="19" t="str">
        <f>$F$109</f>
        <v>India</v>
      </c>
      <c r="W25" s="19" t="str">
        <f>W19</f>
        <v>Portugal</v>
      </c>
      <c r="X25" s="19" t="str">
        <f>X19</f>
        <v>England</v>
      </c>
      <c r="AC25" s="19" t="str">
        <f>AC19</f>
        <v>Portugal</v>
      </c>
      <c r="AD25" s="19" t="str">
        <f>AD19</f>
        <v>England</v>
      </c>
      <c r="AL25" s="13" t="s">
        <v>72</v>
      </c>
      <c r="AM25" s="20">
        <f>AM10/-AM11</f>
        <v>-5</v>
      </c>
      <c r="AN25" s="20">
        <f>AN10/-AN11</f>
        <v>-7</v>
      </c>
      <c r="AO25" s="20">
        <f>AO10/-AO11</f>
        <v>-5</v>
      </c>
    </row>
    <row r="26" spans="4:41" ht="13.5" thickBot="1">
      <c r="D26" s="3" t="s">
        <v>4</v>
      </c>
      <c r="E26" s="35"/>
      <c r="F26" s="35"/>
      <c r="G26" s="66"/>
      <c r="H26" s="3" t="s">
        <v>4</v>
      </c>
      <c r="I26" s="35"/>
      <c r="J26" s="35"/>
      <c r="V26" s="3" t="s">
        <v>4</v>
      </c>
      <c r="W26" s="35"/>
      <c r="X26" s="35"/>
      <c r="AB26" s="3" t="s">
        <v>4</v>
      </c>
      <c r="AC26" s="35"/>
      <c r="AD26" s="35"/>
      <c r="AL26" s="13" t="s">
        <v>7</v>
      </c>
      <c r="AM26" s="20">
        <f>1/AM11</f>
        <v>0.15625</v>
      </c>
      <c r="AN26" s="20">
        <f>1/AN11</f>
        <v>0.16666666666666666</v>
      </c>
      <c r="AO26" s="20">
        <f>1/AO11</f>
        <v>0.125</v>
      </c>
    </row>
    <row r="27" spans="5:41" ht="13.5" thickBot="1">
      <c r="E27" s="1" t="s">
        <v>3</v>
      </c>
      <c r="G27" s="66"/>
      <c r="I27" s="1" t="s">
        <v>3</v>
      </c>
      <c r="W27" s="1" t="s">
        <v>3</v>
      </c>
      <c r="AC27" s="1" t="s">
        <v>3</v>
      </c>
      <c r="AL27" s="13" t="s">
        <v>73</v>
      </c>
      <c r="AM27" s="20">
        <f>AM14/-AM15</f>
        <v>-62.5</v>
      </c>
      <c r="AN27" s="20">
        <f>AN14/-AN15</f>
        <v>-30</v>
      </c>
      <c r="AO27" s="20">
        <f>AO14/-AO15</f>
        <v>-62.5</v>
      </c>
    </row>
    <row r="28" spans="2:41" ht="13.5" thickBot="1">
      <c r="B28" s="33">
        <v>2</v>
      </c>
      <c r="C28" s="1" t="s">
        <v>66</v>
      </c>
      <c r="T28" s="33">
        <v>2</v>
      </c>
      <c r="U28" s="1" t="s">
        <v>66</v>
      </c>
      <c r="AL28" s="13" t="s">
        <v>74</v>
      </c>
      <c r="AM28" s="20">
        <f>1/AM15</f>
        <v>0.625</v>
      </c>
      <c r="AN28" s="20">
        <f>1/AN15</f>
        <v>0.25</v>
      </c>
      <c r="AO28" s="20">
        <f>1/AO15</f>
        <v>0.5</v>
      </c>
    </row>
    <row r="29" spans="5:41" ht="13.5" thickBot="1">
      <c r="E29" s="3" t="s">
        <v>111</v>
      </c>
      <c r="F29" s="68" t="str">
        <f>$E$99</f>
        <v>Gold</v>
      </c>
      <c r="I29" s="3" t="s">
        <v>111</v>
      </c>
      <c r="J29" s="68" t="str">
        <f>$J$103</f>
        <v>Textiles</v>
      </c>
      <c r="W29" s="2"/>
      <c r="X29" s="3" t="s">
        <v>111</v>
      </c>
      <c r="Y29" s="15" t="str">
        <f>Y17</f>
        <v>Wine</v>
      </c>
      <c r="Z29" s="15"/>
      <c r="AD29" s="3" t="s">
        <v>111</v>
      </c>
      <c r="AE29" s="15" t="str">
        <f>AD17</f>
        <v>Textiles</v>
      </c>
      <c r="AL29" s="13" t="s">
        <v>67</v>
      </c>
      <c r="AM29" s="20">
        <f aca="true" t="shared" si="1" ref="AM29:AO30">AM25+AM27</f>
        <v>-67.5</v>
      </c>
      <c r="AN29" s="20">
        <f t="shared" si="1"/>
        <v>-37</v>
      </c>
      <c r="AO29" s="20">
        <f t="shared" si="1"/>
        <v>-67.5</v>
      </c>
    </row>
    <row r="30" spans="3:41" ht="13.5" thickBot="1">
      <c r="C30" s="29" t="s">
        <v>22</v>
      </c>
      <c r="D30" s="30">
        <f>$AM$23</f>
        <v>386.6666666666667</v>
      </c>
      <c r="E30" s="30">
        <f>$AM$24</f>
        <v>-2.6666666666666665</v>
      </c>
      <c r="F30" s="31" t="s">
        <v>23</v>
      </c>
      <c r="H30" s="29" t="s">
        <v>22</v>
      </c>
      <c r="I30" s="30">
        <f>$AM$51</f>
        <v>304</v>
      </c>
      <c r="J30" s="30">
        <f>$AM$52</f>
        <v>-2.1333333333333333</v>
      </c>
      <c r="K30" s="31" t="s">
        <v>23</v>
      </c>
      <c r="V30" s="29" t="s">
        <v>22</v>
      </c>
      <c r="W30" s="30">
        <f>$AN$23</f>
        <v>393.3333333333333</v>
      </c>
      <c r="X30" s="30">
        <f>$AN$24</f>
        <v>-2.6666666666666665</v>
      </c>
      <c r="Y30" s="31" t="s">
        <v>23</v>
      </c>
      <c r="Z30" s="86"/>
      <c r="AB30" s="29" t="s">
        <v>22</v>
      </c>
      <c r="AC30" s="30">
        <f>$AN$51</f>
        <v>372.5</v>
      </c>
      <c r="AD30" s="30">
        <f>$AN$52</f>
        <v>-3.75</v>
      </c>
      <c r="AE30" s="31" t="s">
        <v>23</v>
      </c>
      <c r="AL30" s="13" t="s">
        <v>75</v>
      </c>
      <c r="AM30" s="20">
        <f t="shared" si="1"/>
        <v>0.78125</v>
      </c>
      <c r="AN30" s="20">
        <f t="shared" si="1"/>
        <v>0.41666666666666663</v>
      </c>
      <c r="AO30" s="20">
        <f t="shared" si="1"/>
        <v>0.625</v>
      </c>
    </row>
    <row r="31" spans="3:41" ht="13.5" thickBot="1">
      <c r="C31" s="29" t="s">
        <v>24</v>
      </c>
      <c r="D31" s="30">
        <f>$AM$31</f>
        <v>86.4</v>
      </c>
      <c r="E31" s="32">
        <f>$AM$32</f>
        <v>1.28</v>
      </c>
      <c r="F31" s="31" t="s">
        <v>25</v>
      </c>
      <c r="H31" s="29" t="s">
        <v>24</v>
      </c>
      <c r="I31" s="30">
        <f>$AM$59</f>
        <v>76</v>
      </c>
      <c r="J31" s="32">
        <f>$AM$60</f>
        <v>1.411764705882353</v>
      </c>
      <c r="K31" s="31" t="s">
        <v>25</v>
      </c>
      <c r="V31" s="29" t="s">
        <v>24</v>
      </c>
      <c r="W31" s="30">
        <f>$AN$31</f>
        <v>88.80000000000001</v>
      </c>
      <c r="X31" s="32">
        <f>$AN$32</f>
        <v>2.4000000000000004</v>
      </c>
      <c r="Y31" s="31" t="s">
        <v>25</v>
      </c>
      <c r="Z31" s="86"/>
      <c r="AB31" s="29" t="s">
        <v>24</v>
      </c>
      <c r="AC31" s="30">
        <f>$AN$59</f>
        <v>96</v>
      </c>
      <c r="AD31" s="32">
        <f>$AN$60</f>
        <v>2.6666666666666665</v>
      </c>
      <c r="AE31" s="31" t="s">
        <v>25</v>
      </c>
      <c r="AL31" s="13" t="s">
        <v>76</v>
      </c>
      <c r="AM31" s="85">
        <f>-AM29/AM30</f>
        <v>86.4</v>
      </c>
      <c r="AN31" s="85">
        <f>-AN29/AN30</f>
        <v>88.80000000000001</v>
      </c>
      <c r="AO31" s="85">
        <f>-AO29/AO30</f>
        <v>108</v>
      </c>
    </row>
    <row r="32" spans="5:41" ht="13.5" thickBot="1">
      <c r="E32" s="3" t="s">
        <v>112</v>
      </c>
      <c r="F32" s="20"/>
      <c r="G32" s="40"/>
      <c r="H32"/>
      <c r="I32" s="3" t="s">
        <v>112</v>
      </c>
      <c r="J32" s="20"/>
      <c r="U32" s="1" t="s">
        <v>134</v>
      </c>
      <c r="W32" s="38"/>
      <c r="X32" s="39"/>
      <c r="Y32" s="40"/>
      <c r="Z32" s="40"/>
      <c r="AA32"/>
      <c r="AB32" s="1" t="s">
        <v>134</v>
      </c>
      <c r="AC32" s="38"/>
      <c r="AD32" s="39"/>
      <c r="AL32" s="13" t="s">
        <v>77</v>
      </c>
      <c r="AM32" s="85">
        <f>1/AM30</f>
        <v>1.28</v>
      </c>
      <c r="AN32" s="85">
        <f>1/AN30</f>
        <v>2.4000000000000004</v>
      </c>
      <c r="AO32" s="85">
        <f>1/AO30</f>
        <v>1.6</v>
      </c>
    </row>
    <row r="33" spans="5:41" ht="13.5" thickBot="1">
      <c r="E33" s="3" t="s">
        <v>113</v>
      </c>
      <c r="F33" s="22"/>
      <c r="H33"/>
      <c r="I33" s="3" t="s">
        <v>113</v>
      </c>
      <c r="J33" s="22"/>
      <c r="W33" s="3" t="s">
        <v>137</v>
      </c>
      <c r="X33" s="20"/>
      <c r="AA33"/>
      <c r="AB33"/>
      <c r="AC33" s="3" t="s">
        <v>137</v>
      </c>
      <c r="AD33" s="20"/>
      <c r="AI33" s="13" t="s">
        <v>37</v>
      </c>
      <c r="AJ33" s="60"/>
      <c r="AK33" s="61"/>
      <c r="AL33" s="62" t="s">
        <v>57</v>
      </c>
      <c r="AM33" s="19" t="str">
        <f>$AM$5</f>
        <v>China</v>
      </c>
      <c r="AN33" s="58" t="s">
        <v>99</v>
      </c>
      <c r="AO33" s="19" t="str">
        <f>$AM$5</f>
        <v>China</v>
      </c>
    </row>
    <row r="34" spans="5:41" ht="15" customHeight="1" thickBot="1">
      <c r="E34" s="3" t="s">
        <v>139</v>
      </c>
      <c r="F34" s="22"/>
      <c r="I34" s="3" t="s">
        <v>139</v>
      </c>
      <c r="J34" s="22"/>
      <c r="W34" s="3" t="s">
        <v>138</v>
      </c>
      <c r="X34" s="22"/>
      <c r="AC34" s="3" t="s">
        <v>138</v>
      </c>
      <c r="AD34" s="22"/>
      <c r="AJ34" s="12"/>
      <c r="AK34" s="4"/>
      <c r="AL34" s="63" t="s">
        <v>58</v>
      </c>
      <c r="AM34" s="19" t="str">
        <f>$AM$6</f>
        <v>India</v>
      </c>
      <c r="AN34" s="58" t="s">
        <v>100</v>
      </c>
      <c r="AO34" s="19" t="str">
        <f>$AM$6</f>
        <v>India</v>
      </c>
    </row>
    <row r="35" spans="5:41" ht="13.5" thickBot="1">
      <c r="E35" s="3" t="s">
        <v>135</v>
      </c>
      <c r="F35" s="42"/>
      <c r="I35" s="3" t="s">
        <v>135</v>
      </c>
      <c r="J35" s="42"/>
      <c r="W35" s="3" t="s">
        <v>139</v>
      </c>
      <c r="X35" s="22"/>
      <c r="AC35" s="3" t="s">
        <v>139</v>
      </c>
      <c r="AD35" s="22"/>
      <c r="AJ35" s="12"/>
      <c r="AK35" s="4"/>
      <c r="AL35" s="63" t="s">
        <v>59</v>
      </c>
      <c r="AM35" s="19" t="s">
        <v>64</v>
      </c>
      <c r="AN35" s="58" t="s">
        <v>64</v>
      </c>
      <c r="AO35" s="19" t="s">
        <v>64</v>
      </c>
    </row>
    <row r="36" spans="5:43" ht="13.5" thickBot="1">
      <c r="E36" s="67" t="s">
        <v>114</v>
      </c>
      <c r="F36" s="35"/>
      <c r="I36" s="67" t="s">
        <v>114</v>
      </c>
      <c r="J36" s="35"/>
      <c r="W36" s="3" t="s">
        <v>71</v>
      </c>
      <c r="X36" s="42"/>
      <c r="AC36" s="3" t="s">
        <v>71</v>
      </c>
      <c r="AD36" s="42"/>
      <c r="AJ36" s="12"/>
      <c r="AK36" s="4"/>
      <c r="AL36" s="63" t="s">
        <v>60</v>
      </c>
      <c r="AM36" s="52">
        <f aca="true" t="shared" si="2" ref="AM36:AM44">AO36*$AP$4</f>
        <v>360</v>
      </c>
      <c r="AN36" s="52">
        <v>440</v>
      </c>
      <c r="AO36" s="52">
        <v>450</v>
      </c>
      <c r="AP36" s="88"/>
      <c r="AQ36" s="88"/>
    </row>
    <row r="37" spans="2:43" ht="13.5" thickBot="1">
      <c r="B37" s="33">
        <v>3</v>
      </c>
      <c r="C37" s="1" t="s">
        <v>86</v>
      </c>
      <c r="T37" s="33">
        <v>3</v>
      </c>
      <c r="U37" s="1" t="s">
        <v>107</v>
      </c>
      <c r="AJ37" s="12"/>
      <c r="AK37" s="4"/>
      <c r="AL37" s="63" t="s">
        <v>61</v>
      </c>
      <c r="AM37" s="52">
        <f t="shared" si="2"/>
        <v>-3.2</v>
      </c>
      <c r="AN37" s="52">
        <v>-6</v>
      </c>
      <c r="AO37" s="52">
        <v>-4</v>
      </c>
      <c r="AP37" s="88"/>
      <c r="AQ37" s="88"/>
    </row>
    <row r="38" spans="2:43" ht="13.5" thickBot="1">
      <c r="B38" s="33"/>
      <c r="D38" s="3" t="s">
        <v>104</v>
      </c>
      <c r="E38" s="16" t="str">
        <f>$F$119</f>
        <v>Gold</v>
      </c>
      <c r="H38" s="3" t="s">
        <v>104</v>
      </c>
      <c r="I38" s="16" t="str">
        <f>$J$119</f>
        <v>Textiles</v>
      </c>
      <c r="T38" s="33"/>
      <c r="V38" s="3" t="s">
        <v>104</v>
      </c>
      <c r="W38" s="15" t="str">
        <f>Y29</f>
        <v>Wine</v>
      </c>
      <c r="Y38" s="33"/>
      <c r="Z38" s="33"/>
      <c r="AB38" s="3" t="s">
        <v>104</v>
      </c>
      <c r="AC38" s="15" t="str">
        <f>AE29</f>
        <v>Textiles</v>
      </c>
      <c r="AJ38" s="12"/>
      <c r="AK38" s="4"/>
      <c r="AL38" s="63" t="s">
        <v>65</v>
      </c>
      <c r="AM38" s="52">
        <f t="shared" si="2"/>
        <v>96</v>
      </c>
      <c r="AN38" s="52">
        <v>124</v>
      </c>
      <c r="AO38" s="52">
        <v>120</v>
      </c>
      <c r="AP38" s="88"/>
      <c r="AQ38" s="88"/>
    </row>
    <row r="39" spans="2:43" ht="13.5" thickBot="1">
      <c r="B39" s="3" t="s">
        <v>140</v>
      </c>
      <c r="D39" s="3" t="s">
        <v>141</v>
      </c>
      <c r="E39" s="2" t="str">
        <f>$E$98</f>
        <v>China</v>
      </c>
      <c r="F39" s="2" t="str">
        <f>$J$98</f>
        <v>India</v>
      </c>
      <c r="G39" s="3" t="s">
        <v>140</v>
      </c>
      <c r="I39" s="3" t="s">
        <v>141</v>
      </c>
      <c r="J39" s="2" t="str">
        <f>$E$98</f>
        <v>China</v>
      </c>
      <c r="K39" s="2" t="str">
        <f>$J$98</f>
        <v>India</v>
      </c>
      <c r="T39" s="3" t="s">
        <v>140</v>
      </c>
      <c r="V39" s="3" t="s">
        <v>141</v>
      </c>
      <c r="W39" s="2" t="str">
        <f>W8</f>
        <v>Portugal</v>
      </c>
      <c r="X39" s="2" t="str">
        <f>AC8</f>
        <v>England</v>
      </c>
      <c r="Z39" s="3" t="s">
        <v>140</v>
      </c>
      <c r="AB39" s="3" t="s">
        <v>141</v>
      </c>
      <c r="AC39" s="2" t="str">
        <f>W8</f>
        <v>Portugal</v>
      </c>
      <c r="AD39" s="2" t="str">
        <f>AC8</f>
        <v>England</v>
      </c>
      <c r="AJ39" s="12"/>
      <c r="AK39" s="4"/>
      <c r="AL39" s="63" t="s">
        <v>101</v>
      </c>
      <c r="AM39" s="52">
        <f t="shared" si="2"/>
        <v>2</v>
      </c>
      <c r="AN39" s="52">
        <v>4</v>
      </c>
      <c r="AO39" s="52">
        <v>2.5</v>
      </c>
      <c r="AP39" s="88"/>
      <c r="AQ39" s="88"/>
    </row>
    <row r="40" spans="2:43" ht="13.5" thickBot="1">
      <c r="B40" s="3"/>
      <c r="D40" s="3" t="s">
        <v>136</v>
      </c>
      <c r="E40" s="43"/>
      <c r="F40" s="43"/>
      <c r="G40" s="3"/>
      <c r="I40" s="3" t="s">
        <v>136</v>
      </c>
      <c r="J40" s="43"/>
      <c r="K40" s="43"/>
      <c r="T40" s="3"/>
      <c r="V40" s="3" t="s">
        <v>136</v>
      </c>
      <c r="W40" s="43"/>
      <c r="X40" s="43"/>
      <c r="Z40" s="3"/>
      <c r="AB40" s="3" t="s">
        <v>136</v>
      </c>
      <c r="AC40" s="43"/>
      <c r="AD40" s="43"/>
      <c r="AJ40" s="12"/>
      <c r="AK40" s="4"/>
      <c r="AL40" s="63" t="s">
        <v>62</v>
      </c>
      <c r="AM40" s="52">
        <f t="shared" si="2"/>
        <v>192</v>
      </c>
      <c r="AN40" s="52">
        <v>260</v>
      </c>
      <c r="AO40" s="52">
        <v>240</v>
      </c>
      <c r="AP40" s="88"/>
      <c r="AQ40" s="88"/>
    </row>
    <row r="41" spans="2:43" ht="13.5" thickBot="1">
      <c r="B41" s="3"/>
      <c r="D41" s="3" t="s">
        <v>91</v>
      </c>
      <c r="E41" s="43"/>
      <c r="F41" s="43"/>
      <c r="G41" s="3"/>
      <c r="I41" s="3" t="s">
        <v>91</v>
      </c>
      <c r="J41" s="43"/>
      <c r="K41" s="43"/>
      <c r="T41" s="3"/>
      <c r="V41" s="3" t="s">
        <v>91</v>
      </c>
      <c r="W41" s="43"/>
      <c r="X41" s="43"/>
      <c r="Z41" s="3"/>
      <c r="AB41" s="3" t="s">
        <v>91</v>
      </c>
      <c r="AC41" s="43"/>
      <c r="AD41" s="43"/>
      <c r="AJ41" s="12"/>
      <c r="AK41" s="4"/>
      <c r="AL41" s="63" t="s">
        <v>63</v>
      </c>
      <c r="AM41" s="52">
        <f t="shared" si="2"/>
        <v>-6.4</v>
      </c>
      <c r="AN41" s="52">
        <v>-10</v>
      </c>
      <c r="AO41" s="52">
        <v>-8</v>
      </c>
      <c r="AP41" s="88"/>
      <c r="AQ41" s="88"/>
    </row>
    <row r="42" spans="2:43" ht="13.5" thickBot="1">
      <c r="B42" s="3"/>
      <c r="D42" s="3" t="s">
        <v>92</v>
      </c>
      <c r="E42" s="43"/>
      <c r="F42" s="43"/>
      <c r="G42" s="3"/>
      <c r="I42" s="3" t="s">
        <v>92</v>
      </c>
      <c r="J42" s="43"/>
      <c r="K42" s="43"/>
      <c r="T42" s="3"/>
      <c r="V42" s="3" t="s">
        <v>92</v>
      </c>
      <c r="W42" s="43"/>
      <c r="X42" s="43"/>
      <c r="Z42" s="3"/>
      <c r="AB42" s="3" t="s">
        <v>92</v>
      </c>
      <c r="AC42" s="43"/>
      <c r="AD42" s="43"/>
      <c r="AJ42" s="12"/>
      <c r="AK42" s="4"/>
      <c r="AL42" s="63" t="s">
        <v>102</v>
      </c>
      <c r="AM42" s="52">
        <f t="shared" si="2"/>
        <v>28</v>
      </c>
      <c r="AN42" s="52">
        <v>40</v>
      </c>
      <c r="AO42" s="52">
        <v>35</v>
      </c>
      <c r="AP42" s="88"/>
      <c r="AQ42" s="88"/>
    </row>
    <row r="43" spans="2:43" ht="16.5" customHeight="1" thickBot="1">
      <c r="B43" s="3"/>
      <c r="D43" s="3" t="s">
        <v>116</v>
      </c>
      <c r="E43" s="28"/>
      <c r="F43" s="28"/>
      <c r="G43" s="3"/>
      <c r="I43" s="3" t="s">
        <v>116</v>
      </c>
      <c r="J43" s="28"/>
      <c r="K43" s="28"/>
      <c r="T43" s="3"/>
      <c r="V43" s="3" t="s">
        <v>116</v>
      </c>
      <c r="W43" s="28"/>
      <c r="X43" s="28"/>
      <c r="Z43" s="3"/>
      <c r="AB43" s="3" t="s">
        <v>116</v>
      </c>
      <c r="AC43" s="28"/>
      <c r="AD43" s="28"/>
      <c r="AJ43" s="12"/>
      <c r="AK43" s="4"/>
      <c r="AL43" s="63" t="s">
        <v>103</v>
      </c>
      <c r="AM43" s="52">
        <f t="shared" si="2"/>
        <v>4.800000000000001</v>
      </c>
      <c r="AN43" s="52">
        <v>8</v>
      </c>
      <c r="AO43" s="52">
        <v>6</v>
      </c>
      <c r="AP43" s="88"/>
      <c r="AQ43" s="88"/>
    </row>
    <row r="44" spans="2:43" ht="13.5" thickBot="1">
      <c r="B44" s="3" t="s">
        <v>144</v>
      </c>
      <c r="C44" s="44" t="s">
        <v>115</v>
      </c>
      <c r="G44" s="3" t="s">
        <v>144</v>
      </c>
      <c r="H44" s="44" t="s">
        <v>115</v>
      </c>
      <c r="T44" s="3" t="s">
        <v>144</v>
      </c>
      <c r="U44" s="44" t="s">
        <v>108</v>
      </c>
      <c r="Z44" s="3" t="s">
        <v>144</v>
      </c>
      <c r="AA44" s="44" t="s">
        <v>108</v>
      </c>
      <c r="AJ44" s="64"/>
      <c r="AK44" s="10"/>
      <c r="AL44" s="65" t="s">
        <v>117</v>
      </c>
      <c r="AM44" s="52">
        <f t="shared" si="2"/>
        <v>0.08000000000000002</v>
      </c>
      <c r="AN44" s="59">
        <v>0.05</v>
      </c>
      <c r="AO44" s="52">
        <v>0.1</v>
      </c>
      <c r="AP44" s="88"/>
      <c r="AQ44" s="4"/>
    </row>
    <row r="45" spans="2:43" ht="13.5" thickBot="1">
      <c r="B45" s="3"/>
      <c r="E45" s="2" t="s">
        <v>142</v>
      </c>
      <c r="F45" s="2" t="s">
        <v>143</v>
      </c>
      <c r="G45" s="3"/>
      <c r="H45" s="1" t="s">
        <v>82</v>
      </c>
      <c r="J45" s="2" t="s">
        <v>142</v>
      </c>
      <c r="K45" s="2" t="s">
        <v>143</v>
      </c>
      <c r="T45" s="3"/>
      <c r="U45" s="1" t="s">
        <v>82</v>
      </c>
      <c r="W45" s="2" t="s">
        <v>142</v>
      </c>
      <c r="X45" s="2" t="s">
        <v>143</v>
      </c>
      <c r="Z45" s="3"/>
      <c r="AA45" s="1" t="s">
        <v>82</v>
      </c>
      <c r="AC45" s="2" t="s">
        <v>142</v>
      </c>
      <c r="AD45" s="2" t="s">
        <v>143</v>
      </c>
      <c r="AL45" s="13" t="s">
        <v>5</v>
      </c>
      <c r="AM45" s="20">
        <f>AM36/-AM37</f>
        <v>112.5</v>
      </c>
      <c r="AN45" s="20">
        <f>AN36/-AN37</f>
        <v>73.33333333333333</v>
      </c>
      <c r="AO45" s="20">
        <f>AO36/-AO37</f>
        <v>112.5</v>
      </c>
      <c r="AP45" s="4"/>
      <c r="AQ45" s="4"/>
    </row>
    <row r="46" spans="2:43" ht="13.5" thickBot="1">
      <c r="B46" s="3"/>
      <c r="D46" s="3" t="str">
        <f>$E$98</f>
        <v>China</v>
      </c>
      <c r="E46" s="9"/>
      <c r="F46" s="35"/>
      <c r="G46" s="3"/>
      <c r="I46" s="3" t="str">
        <f>$E$98</f>
        <v>China</v>
      </c>
      <c r="J46" s="35"/>
      <c r="K46" s="35"/>
      <c r="T46" s="3"/>
      <c r="V46" s="3" t="str">
        <f>W8</f>
        <v>Portugal</v>
      </c>
      <c r="W46" s="9"/>
      <c r="X46" s="35"/>
      <c r="Z46" s="3"/>
      <c r="AB46" s="3" t="str">
        <f>AC39</f>
        <v>Portugal</v>
      </c>
      <c r="AC46" s="9"/>
      <c r="AD46" s="35"/>
      <c r="AL46" s="13" t="s">
        <v>6</v>
      </c>
      <c r="AM46" s="20">
        <f>AM40/-AM41</f>
        <v>30</v>
      </c>
      <c r="AN46" s="20">
        <f>AN40/-AN41</f>
        <v>26</v>
      </c>
      <c r="AO46" s="20">
        <f>AO40/-AO41</f>
        <v>30</v>
      </c>
      <c r="AP46" s="4"/>
      <c r="AQ46" s="4"/>
    </row>
    <row r="47" spans="2:41" ht="13.5" thickBot="1">
      <c r="B47" s="3"/>
      <c r="D47" s="3" t="str">
        <f>$J$98</f>
        <v>India</v>
      </c>
      <c r="E47" s="35"/>
      <c r="F47" s="9"/>
      <c r="G47" s="3"/>
      <c r="I47" s="3" t="str">
        <f>$J$98</f>
        <v>India</v>
      </c>
      <c r="J47" s="35"/>
      <c r="K47" s="35"/>
      <c r="T47" s="3"/>
      <c r="V47" s="3" t="str">
        <f>AC8</f>
        <v>England</v>
      </c>
      <c r="W47" s="35"/>
      <c r="X47" s="9"/>
      <c r="Z47" s="3"/>
      <c r="AB47" s="3" t="str">
        <f>AD39</f>
        <v>England</v>
      </c>
      <c r="AC47" s="35"/>
      <c r="AD47" s="9"/>
      <c r="AL47" s="13" t="s">
        <v>69</v>
      </c>
      <c r="AM47" s="20">
        <f>1/AM37</f>
        <v>-0.3125</v>
      </c>
      <c r="AN47" s="20">
        <f>1/AN37</f>
        <v>-0.16666666666666666</v>
      </c>
      <c r="AO47" s="20">
        <f>1/AO37</f>
        <v>-0.25</v>
      </c>
    </row>
    <row r="48" spans="2:41" ht="13.5" thickBot="1">
      <c r="B48" s="3" t="s">
        <v>145</v>
      </c>
      <c r="E48" s="3" t="s">
        <v>87</v>
      </c>
      <c r="F48" s="16" t="str">
        <f>$E$128</f>
        <v>Gold</v>
      </c>
      <c r="G48" s="3" t="s">
        <v>145</v>
      </c>
      <c r="I48" s="3" t="s">
        <v>0</v>
      </c>
      <c r="J48" s="68" t="str">
        <f>$I$128</f>
        <v>Textiles</v>
      </c>
      <c r="T48" s="3" t="s">
        <v>145</v>
      </c>
      <c r="U48" s="15" t="s">
        <v>35</v>
      </c>
      <c r="Z48" s="3" t="s">
        <v>145</v>
      </c>
      <c r="AA48" s="15" t="s">
        <v>35</v>
      </c>
      <c r="AL48" s="13" t="s">
        <v>68</v>
      </c>
      <c r="AM48" s="20">
        <f>1/AM41</f>
        <v>-0.15625</v>
      </c>
      <c r="AN48" s="20">
        <f>1/AN41</f>
        <v>-0.1</v>
      </c>
      <c r="AO48" s="20">
        <f>1/AO41</f>
        <v>-0.125</v>
      </c>
    </row>
    <row r="49" spans="5:41" ht="13.5" thickBot="1">
      <c r="E49" s="2" t="s">
        <v>142</v>
      </c>
      <c r="F49" s="2" t="s">
        <v>143</v>
      </c>
      <c r="J49" s="2" t="s">
        <v>142</v>
      </c>
      <c r="K49" s="2" t="s">
        <v>143</v>
      </c>
      <c r="W49" s="2" t="s">
        <v>142</v>
      </c>
      <c r="X49" s="2" t="s">
        <v>143</v>
      </c>
      <c r="AC49" s="2" t="s">
        <v>142</v>
      </c>
      <c r="AD49" s="2" t="s">
        <v>143</v>
      </c>
      <c r="AL49" s="13" t="s">
        <v>8</v>
      </c>
      <c r="AM49" s="20">
        <f>AM45+AM46</f>
        <v>142.5</v>
      </c>
      <c r="AN49" s="20">
        <f>AN45+AN46</f>
        <v>99.33333333333333</v>
      </c>
      <c r="AO49" s="20">
        <f>AO45+AO46</f>
        <v>142.5</v>
      </c>
    </row>
    <row r="50" spans="4:41" ht="13.5" thickBot="1">
      <c r="D50" s="3" t="str">
        <f>$E$98</f>
        <v>China</v>
      </c>
      <c r="E50" s="9"/>
      <c r="F50" s="45"/>
      <c r="I50" s="3" t="str">
        <f>$E$98</f>
        <v>China</v>
      </c>
      <c r="J50" s="45"/>
      <c r="K50" s="45"/>
      <c r="V50" s="3" t="str">
        <f>W8</f>
        <v>Portugal</v>
      </c>
      <c r="W50" s="9"/>
      <c r="X50" s="45"/>
      <c r="AB50" s="3" t="str">
        <f>AC39</f>
        <v>Portugal</v>
      </c>
      <c r="AC50" s="9"/>
      <c r="AD50" s="45"/>
      <c r="AL50" s="13" t="s">
        <v>32</v>
      </c>
      <c r="AM50" s="20">
        <f>AM47+AM48</f>
        <v>-0.46875</v>
      </c>
      <c r="AN50" s="20">
        <f>AN47+AN48</f>
        <v>-0.26666666666666666</v>
      </c>
      <c r="AO50" s="20">
        <f>AO47+AO48</f>
        <v>-0.375</v>
      </c>
    </row>
    <row r="51" spans="4:41" ht="13.5" thickBot="1">
      <c r="D51" s="3" t="str">
        <f>$J$98</f>
        <v>India</v>
      </c>
      <c r="E51" s="45"/>
      <c r="F51" s="9"/>
      <c r="I51" s="3" t="str">
        <f>$J$98</f>
        <v>India</v>
      </c>
      <c r="J51" s="45"/>
      <c r="K51" s="9"/>
      <c r="V51" s="3" t="str">
        <f>AC8</f>
        <v>England</v>
      </c>
      <c r="W51" s="45"/>
      <c r="X51" s="9"/>
      <c r="AB51" s="3" t="str">
        <f>AD39</f>
        <v>England</v>
      </c>
      <c r="AC51" s="45"/>
      <c r="AD51" s="9"/>
      <c r="AL51" s="3" t="s">
        <v>33</v>
      </c>
      <c r="AM51" s="85">
        <f>AM49/-AM50</f>
        <v>304</v>
      </c>
      <c r="AN51" s="85">
        <f>AN49/-AN50</f>
        <v>372.5</v>
      </c>
      <c r="AO51" s="85">
        <f>AO49/-AO50</f>
        <v>380</v>
      </c>
    </row>
    <row r="52" spans="2:41" ht="13.5" thickBot="1">
      <c r="B52" s="3" t="s">
        <v>93</v>
      </c>
      <c r="C52" s="15" t="s">
        <v>83</v>
      </c>
      <c r="D52" s="3"/>
      <c r="E52" s="50"/>
      <c r="F52" s="4"/>
      <c r="G52" s="3" t="s">
        <v>93</v>
      </c>
      <c r="H52" s="15" t="s">
        <v>83</v>
      </c>
      <c r="T52" s="3" t="s">
        <v>93</v>
      </c>
      <c r="U52" s="15" t="s">
        <v>83</v>
      </c>
      <c r="V52" s="3"/>
      <c r="W52" s="50"/>
      <c r="X52" s="4"/>
      <c r="Z52" s="3" t="s">
        <v>93</v>
      </c>
      <c r="AA52" s="15" t="s">
        <v>83</v>
      </c>
      <c r="AL52" s="3" t="s">
        <v>34</v>
      </c>
      <c r="AM52" s="85">
        <f>1/AM50</f>
        <v>-2.1333333333333333</v>
      </c>
      <c r="AN52" s="85">
        <f>1/AN50</f>
        <v>-3.75</v>
      </c>
      <c r="AO52" s="85">
        <f>1/AO50</f>
        <v>-2.6666666666666665</v>
      </c>
    </row>
    <row r="53" spans="2:41" ht="13.5" thickBot="1">
      <c r="B53" s="3"/>
      <c r="D53" s="51" t="str">
        <f>E8</f>
        <v>China</v>
      </c>
      <c r="E53" s="70" t="str">
        <f>E38</f>
        <v>Gold</v>
      </c>
      <c r="F53" s="71" t="str">
        <f>I38</f>
        <v>Textiles</v>
      </c>
      <c r="I53" s="69" t="str">
        <f>J19</f>
        <v>India</v>
      </c>
      <c r="J53" s="16" t="str">
        <f>F17</f>
        <v>Gold</v>
      </c>
      <c r="K53" s="16" t="str">
        <f>J17</f>
        <v>Textiles</v>
      </c>
      <c r="T53" s="3"/>
      <c r="U53" s="15"/>
      <c r="V53" s="51" t="str">
        <f>W8</f>
        <v>Portugal</v>
      </c>
      <c r="W53" s="70" t="str">
        <f>W38</f>
        <v>Wine</v>
      </c>
      <c r="X53" s="71" t="str">
        <f>AE29</f>
        <v>Textiles</v>
      </c>
      <c r="AB53" s="69" t="str">
        <f>AB47</f>
        <v>England</v>
      </c>
      <c r="AC53" s="16" t="str">
        <f>Y29</f>
        <v>Wine</v>
      </c>
      <c r="AD53" s="16" t="str">
        <f>AE29</f>
        <v>Textiles</v>
      </c>
      <c r="AL53" s="13" t="s">
        <v>72</v>
      </c>
      <c r="AM53" s="20">
        <f>AM38/-AM39</f>
        <v>-48</v>
      </c>
      <c r="AN53" s="20">
        <f>AN38/-AN39</f>
        <v>-31</v>
      </c>
      <c r="AO53" s="20">
        <f>AO38/-AO39</f>
        <v>-48</v>
      </c>
    </row>
    <row r="54" spans="2:41" ht="13.5" thickBot="1">
      <c r="B54" s="3"/>
      <c r="D54" s="51" t="s">
        <v>94</v>
      </c>
      <c r="E54" s="49"/>
      <c r="F54" s="49"/>
      <c r="I54" s="51" t="s">
        <v>94</v>
      </c>
      <c r="J54" s="35"/>
      <c r="K54" s="35"/>
      <c r="T54" s="3"/>
      <c r="U54" s="15"/>
      <c r="V54" s="51" t="s">
        <v>94</v>
      </c>
      <c r="W54" s="49"/>
      <c r="X54" s="49"/>
      <c r="AB54" s="51" t="s">
        <v>94</v>
      </c>
      <c r="AC54" s="35"/>
      <c r="AD54" s="35"/>
      <c r="AL54" s="13" t="s">
        <v>7</v>
      </c>
      <c r="AM54" s="20">
        <f>1/AM39</f>
        <v>0.5</v>
      </c>
      <c r="AN54" s="20">
        <f>1/AN39</f>
        <v>0.25</v>
      </c>
      <c r="AO54" s="20">
        <f>1/AO39</f>
        <v>0.4</v>
      </c>
    </row>
    <row r="55" spans="2:41" ht="13.5" thickBot="1">
      <c r="B55" s="3"/>
      <c r="C55" s="15"/>
      <c r="D55" s="3" t="s">
        <v>124</v>
      </c>
      <c r="E55" s="35"/>
      <c r="F55" s="35"/>
      <c r="I55" s="3" t="s">
        <v>124</v>
      </c>
      <c r="J55" s="35"/>
      <c r="K55" s="22"/>
      <c r="T55" s="3"/>
      <c r="U55" s="15"/>
      <c r="V55" s="3" t="s">
        <v>124</v>
      </c>
      <c r="W55" s="35"/>
      <c r="X55" s="35"/>
      <c r="AB55" s="3" t="s">
        <v>124</v>
      </c>
      <c r="AC55" s="35"/>
      <c r="AD55" s="22"/>
      <c r="AL55" s="13" t="s">
        <v>73</v>
      </c>
      <c r="AM55" s="20">
        <f>AM42/-AM43</f>
        <v>-5.833333333333332</v>
      </c>
      <c r="AN55" s="20">
        <f>AN42/-AN43</f>
        <v>-5</v>
      </c>
      <c r="AO55" s="20">
        <f>AO42/-AO43</f>
        <v>-5.833333333333333</v>
      </c>
    </row>
    <row r="56" spans="2:41" ht="13.5" thickBot="1">
      <c r="B56" s="3"/>
      <c r="C56" s="15"/>
      <c r="D56" s="3" t="s">
        <v>95</v>
      </c>
      <c r="E56" s="35"/>
      <c r="F56" s="35"/>
      <c r="I56" s="3" t="s">
        <v>95</v>
      </c>
      <c r="J56" s="35"/>
      <c r="K56" s="35"/>
      <c r="T56" s="3"/>
      <c r="U56" s="15"/>
      <c r="V56" s="3" t="s">
        <v>95</v>
      </c>
      <c r="W56" s="35"/>
      <c r="X56" s="35"/>
      <c r="AB56" s="3" t="s">
        <v>95</v>
      </c>
      <c r="AC56" s="35"/>
      <c r="AD56" s="35"/>
      <c r="AL56" s="13" t="s">
        <v>74</v>
      </c>
      <c r="AM56" s="20">
        <f>1/AM43</f>
        <v>0.20833333333333331</v>
      </c>
      <c r="AN56" s="20">
        <f>1/AN43</f>
        <v>0.125</v>
      </c>
      <c r="AO56" s="20">
        <f>1/AO43</f>
        <v>0.16666666666666666</v>
      </c>
    </row>
    <row r="57" spans="2:41" ht="13.5" thickBot="1">
      <c r="B57" s="3"/>
      <c r="C57" s="15"/>
      <c r="D57" s="67" t="s">
        <v>125</v>
      </c>
      <c r="E57" s="45"/>
      <c r="F57" s="45"/>
      <c r="I57" s="67" t="s">
        <v>125</v>
      </c>
      <c r="J57" s="45"/>
      <c r="K57" s="45"/>
      <c r="T57" s="3"/>
      <c r="U57" s="15"/>
      <c r="V57" s="67" t="s">
        <v>125</v>
      </c>
      <c r="W57" s="45"/>
      <c r="X57" s="45"/>
      <c r="AB57" s="67" t="s">
        <v>125</v>
      </c>
      <c r="AC57" s="45"/>
      <c r="AD57" s="45"/>
      <c r="AL57" s="13" t="s">
        <v>67</v>
      </c>
      <c r="AM57" s="20">
        <f aca="true" t="shared" si="3" ref="AM57:AO58">AM53+AM55</f>
        <v>-53.83333333333333</v>
      </c>
      <c r="AN57" s="20">
        <f t="shared" si="3"/>
        <v>-36</v>
      </c>
      <c r="AO57" s="20">
        <f t="shared" si="3"/>
        <v>-53.833333333333336</v>
      </c>
    </row>
    <row r="58" spans="2:41" ht="13.5" thickBot="1">
      <c r="B58" s="3" t="s">
        <v>126</v>
      </c>
      <c r="C58" s="15" t="s">
        <v>127</v>
      </c>
      <c r="D58" s="67"/>
      <c r="E58" s="50"/>
      <c r="F58" s="50"/>
      <c r="H58" s="79"/>
      <c r="I58" s="80" t="s">
        <v>118</v>
      </c>
      <c r="J58" s="72"/>
      <c r="K58" s="50"/>
      <c r="T58" s="3" t="s">
        <v>126</v>
      </c>
      <c r="U58" s="15" t="s">
        <v>127</v>
      </c>
      <c r="V58" s="67"/>
      <c r="W58" s="50"/>
      <c r="X58" s="50"/>
      <c r="AA58" s="79"/>
      <c r="AB58" s="80" t="s">
        <v>84</v>
      </c>
      <c r="AC58" s="87"/>
      <c r="AD58" s="50"/>
      <c r="AL58" s="13" t="s">
        <v>75</v>
      </c>
      <c r="AM58" s="20">
        <f t="shared" si="3"/>
        <v>0.7083333333333333</v>
      </c>
      <c r="AN58" s="20">
        <f t="shared" si="3"/>
        <v>0.375</v>
      </c>
      <c r="AO58" s="20">
        <f t="shared" si="3"/>
        <v>0.5666666666666667</v>
      </c>
    </row>
    <row r="59" spans="2:41" ht="13.5" thickBot="1">
      <c r="B59" s="33">
        <v>4</v>
      </c>
      <c r="C59" s="1" t="s">
        <v>128</v>
      </c>
      <c r="J59" s="53">
        <f>$AM$16</f>
        <v>0.08000000000000002</v>
      </c>
      <c r="K59" s="1" t="s">
        <v>129</v>
      </c>
      <c r="T59" s="33">
        <v>4</v>
      </c>
      <c r="U59" s="1" t="s">
        <v>128</v>
      </c>
      <c r="AC59" s="53">
        <f>$AN$44</f>
        <v>0.05</v>
      </c>
      <c r="AD59" s="1" t="s">
        <v>85</v>
      </c>
      <c r="AL59" s="3" t="s">
        <v>76</v>
      </c>
      <c r="AM59" s="85">
        <f>-AM57/AM58</f>
        <v>76</v>
      </c>
      <c r="AN59" s="85">
        <f>-AN57/AN58</f>
        <v>96</v>
      </c>
      <c r="AO59" s="85">
        <f>-AO57/AO58</f>
        <v>95</v>
      </c>
    </row>
    <row r="60" spans="2:41" ht="13.5" thickBot="1">
      <c r="B60" s="33"/>
      <c r="C60" s="1" t="s">
        <v>130</v>
      </c>
      <c r="H60" s="54"/>
      <c r="I60" s="37" t="s">
        <v>131</v>
      </c>
      <c r="J60" s="70" t="str">
        <f>F48</f>
        <v>Gold</v>
      </c>
      <c r="K60" s="1" t="s">
        <v>132</v>
      </c>
      <c r="T60" s="33"/>
      <c r="U60" s="1" t="s">
        <v>130</v>
      </c>
      <c r="Z60" s="54"/>
      <c r="AA60" s="37" t="s">
        <v>131</v>
      </c>
      <c r="AB60" s="70" t="str">
        <f>W53</f>
        <v>Wine</v>
      </c>
      <c r="AC60" s="1" t="s">
        <v>132</v>
      </c>
      <c r="AL60" s="3" t="s">
        <v>77</v>
      </c>
      <c r="AM60" s="85">
        <f>1/AM58</f>
        <v>1.411764705882353</v>
      </c>
      <c r="AN60" s="85">
        <f>1/AN58</f>
        <v>2.6666666666666665</v>
      </c>
      <c r="AO60" s="85">
        <f>1/AO58</f>
        <v>1.7647058823529411</v>
      </c>
    </row>
    <row r="61" spans="2:41" ht="13.5" thickBot="1">
      <c r="B61" s="33"/>
      <c r="H61" s="54"/>
      <c r="I61" s="37" t="s">
        <v>54</v>
      </c>
      <c r="J61" s="70" t="str">
        <f>J48</f>
        <v>Textiles</v>
      </c>
      <c r="T61" s="33"/>
      <c r="Z61" s="54"/>
      <c r="AA61" s="37" t="s">
        <v>54</v>
      </c>
      <c r="AB61" s="70" t="str">
        <f>X53</f>
        <v>Textiles</v>
      </c>
      <c r="AO61" s="18"/>
    </row>
    <row r="62" spans="3:41" ht="13.5" thickBot="1">
      <c r="C62" s="1" t="s">
        <v>122</v>
      </c>
      <c r="U62" s="1" t="s">
        <v>122</v>
      </c>
      <c r="AO62" s="18"/>
    </row>
    <row r="63" spans="4:29" ht="13.5" thickBot="1">
      <c r="D63" s="75" t="str">
        <f>$AM$7</f>
        <v>Gold</v>
      </c>
      <c r="E63" s="61"/>
      <c r="F63" s="61"/>
      <c r="G63" s="61"/>
      <c r="H63" s="84" t="str">
        <f>$E$98</f>
        <v>China</v>
      </c>
      <c r="I63" s="84" t="str">
        <f>$J$98</f>
        <v>India</v>
      </c>
      <c r="V63" s="75" t="str">
        <f>W53</f>
        <v>Wine</v>
      </c>
      <c r="W63" s="61"/>
      <c r="X63" s="61"/>
      <c r="Y63" s="61"/>
      <c r="Z63" s="58" t="str">
        <f>$W$98</f>
        <v>Portugal</v>
      </c>
      <c r="AA63" s="58" t="str">
        <f>$AC$98</f>
        <v>England</v>
      </c>
      <c r="AC63"/>
    </row>
    <row r="64" spans="4:29" ht="13.5" thickBot="1">
      <c r="D64" s="12"/>
      <c r="E64" s="4"/>
      <c r="F64" s="4"/>
      <c r="G64" s="76" t="s">
        <v>48</v>
      </c>
      <c r="H64" s="20"/>
      <c r="I64" s="20"/>
      <c r="V64" s="12"/>
      <c r="W64" s="4"/>
      <c r="X64" s="4"/>
      <c r="Y64" s="76" t="s">
        <v>48</v>
      </c>
      <c r="Z64" s="20"/>
      <c r="AA64" s="20"/>
      <c r="AC64"/>
    </row>
    <row r="65" spans="3:29" ht="13.5" thickBot="1">
      <c r="C65" s="41"/>
      <c r="D65" s="12"/>
      <c r="E65" s="4"/>
      <c r="F65" s="4"/>
      <c r="G65" s="76" t="s">
        <v>49</v>
      </c>
      <c r="H65" s="20"/>
      <c r="I65" s="46"/>
      <c r="U65" s="41"/>
      <c r="V65" s="12"/>
      <c r="W65" s="4"/>
      <c r="X65" s="4"/>
      <c r="Y65" s="76" t="s">
        <v>49</v>
      </c>
      <c r="Z65" s="20"/>
      <c r="AA65" s="46"/>
      <c r="AC65"/>
    </row>
    <row r="66" spans="4:29" ht="13.5" thickBot="1">
      <c r="D66" s="12"/>
      <c r="E66" s="4"/>
      <c r="F66" s="4"/>
      <c r="G66" s="76" t="s">
        <v>50</v>
      </c>
      <c r="H66" s="20"/>
      <c r="I66" s="47"/>
      <c r="V66" s="12"/>
      <c r="W66" s="4"/>
      <c r="X66" s="4"/>
      <c r="Y66" s="76" t="s">
        <v>50</v>
      </c>
      <c r="Z66" s="20"/>
      <c r="AA66" s="47"/>
      <c r="AC66"/>
    </row>
    <row r="67" spans="4:30" ht="13.5" thickBot="1">
      <c r="D67" s="12"/>
      <c r="E67" s="4"/>
      <c r="F67" s="4"/>
      <c r="G67" s="76" t="s">
        <v>51</v>
      </c>
      <c r="H67" s="20"/>
      <c r="I67" s="20"/>
      <c r="K67" s="13"/>
      <c r="V67" s="12"/>
      <c r="W67" s="4"/>
      <c r="X67" s="4"/>
      <c r="Y67" s="76" t="s">
        <v>51</v>
      </c>
      <c r="Z67" s="20"/>
      <c r="AA67" s="20"/>
      <c r="AC67"/>
      <c r="AD67" s="13"/>
    </row>
    <row r="68" spans="4:30" ht="13.5" thickBot="1">
      <c r="D68" s="12"/>
      <c r="E68" s="4"/>
      <c r="F68" s="4"/>
      <c r="G68" s="76" t="s">
        <v>52</v>
      </c>
      <c r="H68" s="48"/>
      <c r="I68" s="48"/>
      <c r="K68" s="13"/>
      <c r="V68" s="12"/>
      <c r="W68" s="4"/>
      <c r="X68" s="4"/>
      <c r="Y68" s="76" t="s">
        <v>52</v>
      </c>
      <c r="Z68" s="48"/>
      <c r="AA68" s="48"/>
      <c r="AC68"/>
      <c r="AD68" s="13"/>
    </row>
    <row r="69" spans="4:30" ht="13.5" thickBot="1">
      <c r="D69" s="12"/>
      <c r="E69" s="4"/>
      <c r="F69" s="4"/>
      <c r="G69" s="76" t="s">
        <v>53</v>
      </c>
      <c r="H69" s="49"/>
      <c r="I69" s="49"/>
      <c r="K69" s="13"/>
      <c r="V69" s="12"/>
      <c r="W69" s="4"/>
      <c r="X69" s="4"/>
      <c r="Y69" s="76" t="s">
        <v>53</v>
      </c>
      <c r="Z69" s="49"/>
      <c r="AA69" s="49"/>
      <c r="AC69"/>
      <c r="AD69" s="13"/>
    </row>
    <row r="70" spans="4:30" ht="13.5" thickBot="1">
      <c r="D70" s="12"/>
      <c r="E70" s="4"/>
      <c r="F70" s="4"/>
      <c r="G70" s="76" t="s">
        <v>55</v>
      </c>
      <c r="H70" s="49"/>
      <c r="I70" s="35"/>
      <c r="K70" s="13"/>
      <c r="V70" s="12"/>
      <c r="W70" s="4"/>
      <c r="X70" s="4"/>
      <c r="Y70" s="76" t="s">
        <v>55</v>
      </c>
      <c r="Z70" s="49"/>
      <c r="AA70" s="35"/>
      <c r="AC70"/>
      <c r="AD70" s="13"/>
    </row>
    <row r="71" spans="4:30" ht="13.5" thickBot="1">
      <c r="D71" s="12"/>
      <c r="E71" s="4"/>
      <c r="F71" s="4"/>
      <c r="G71" s="76" t="s">
        <v>119</v>
      </c>
      <c r="H71" s="49"/>
      <c r="I71" s="82"/>
      <c r="J71" s="1" t="s">
        <v>11</v>
      </c>
      <c r="K71" s="13"/>
      <c r="V71" s="12"/>
      <c r="W71" s="4"/>
      <c r="X71" s="4"/>
      <c r="Y71" s="76" t="s">
        <v>119</v>
      </c>
      <c r="Z71" s="49"/>
      <c r="AA71" s="82"/>
      <c r="AB71" s="1" t="s">
        <v>11</v>
      </c>
      <c r="AC71" s="74"/>
      <c r="AD71" s="13"/>
    </row>
    <row r="72" spans="4:30" ht="13.5" thickBot="1">
      <c r="D72" s="12"/>
      <c r="E72" s="4"/>
      <c r="F72" s="4"/>
      <c r="G72" s="76" t="s">
        <v>120</v>
      </c>
      <c r="H72" s="49"/>
      <c r="I72" s="35"/>
      <c r="J72" s="81" t="s">
        <v>30</v>
      </c>
      <c r="K72" s="13"/>
      <c r="V72" s="12"/>
      <c r="W72" s="4"/>
      <c r="X72" s="4"/>
      <c r="Y72" s="76" t="s">
        <v>120</v>
      </c>
      <c r="Z72" s="49"/>
      <c r="AA72" s="35"/>
      <c r="AB72" s="81" t="s">
        <v>30</v>
      </c>
      <c r="AC72" s="74"/>
      <c r="AD72" s="13"/>
    </row>
    <row r="73" spans="4:30" ht="13.5" thickBot="1">
      <c r="D73" s="12"/>
      <c r="E73" s="4"/>
      <c r="F73" s="4"/>
      <c r="G73" s="76" t="s">
        <v>121</v>
      </c>
      <c r="H73" s="49"/>
      <c r="I73" s="35"/>
      <c r="J73" s="1" t="s">
        <v>31</v>
      </c>
      <c r="K73" s="13"/>
      <c r="V73" s="12"/>
      <c r="W73" s="4"/>
      <c r="X73" s="4"/>
      <c r="Y73" s="76" t="s">
        <v>121</v>
      </c>
      <c r="Z73" s="49"/>
      <c r="AA73" s="35"/>
      <c r="AB73" s="1" t="s">
        <v>31</v>
      </c>
      <c r="AC73" s="74"/>
      <c r="AD73" s="13"/>
    </row>
    <row r="74" spans="4:30" ht="13.5" thickBot="1">
      <c r="D74" s="12"/>
      <c r="E74" s="4"/>
      <c r="F74" s="4"/>
      <c r="G74" s="76" t="s">
        <v>123</v>
      </c>
      <c r="H74" s="48"/>
      <c r="I74" s="48"/>
      <c r="K74" s="13"/>
      <c r="V74" s="12"/>
      <c r="W74" s="4"/>
      <c r="X74" s="4"/>
      <c r="Y74" s="76" t="s">
        <v>123</v>
      </c>
      <c r="Z74" s="48"/>
      <c r="AA74" s="48"/>
      <c r="AC74" s="74"/>
      <c r="AD74" s="13"/>
    </row>
    <row r="75" spans="4:30" ht="13.5" thickBot="1">
      <c r="D75" s="12"/>
      <c r="E75" s="4"/>
      <c r="F75" s="4"/>
      <c r="G75" s="63" t="s">
        <v>9</v>
      </c>
      <c r="H75" s="48"/>
      <c r="I75" s="48"/>
      <c r="K75" s="13"/>
      <c r="V75" s="12"/>
      <c r="W75" s="4"/>
      <c r="X75" s="4"/>
      <c r="Y75" s="63" t="s">
        <v>9</v>
      </c>
      <c r="Z75" s="48"/>
      <c r="AA75" s="48"/>
      <c r="AC75" s="74"/>
      <c r="AD75" s="13"/>
    </row>
    <row r="76" spans="4:30" ht="13.5" thickBot="1">
      <c r="D76" s="64"/>
      <c r="E76" s="10"/>
      <c r="F76" s="10"/>
      <c r="G76" s="77" t="s">
        <v>10</v>
      </c>
      <c r="H76" s="48"/>
      <c r="I76" s="48"/>
      <c r="K76" s="13"/>
      <c r="V76" s="64"/>
      <c r="W76" s="10"/>
      <c r="X76" s="10"/>
      <c r="Y76" s="77" t="s">
        <v>10</v>
      </c>
      <c r="Z76" s="48"/>
      <c r="AA76" s="48"/>
      <c r="AC76" s="74"/>
      <c r="AD76" s="13"/>
    </row>
    <row r="77" spans="4:30" ht="13.5" thickBot="1">
      <c r="D77" s="75" t="str">
        <f>$AM$35</f>
        <v>Textiles</v>
      </c>
      <c r="E77" s="61"/>
      <c r="F77" s="61"/>
      <c r="G77" s="78"/>
      <c r="H77" s="58" t="str">
        <f>$E$98</f>
        <v>China</v>
      </c>
      <c r="I77" s="58" t="str">
        <f>$J$98</f>
        <v>India</v>
      </c>
      <c r="K77" s="13"/>
      <c r="V77" s="75" t="str">
        <f>X53</f>
        <v>Textiles</v>
      </c>
      <c r="W77" s="61"/>
      <c r="X77" s="61"/>
      <c r="Y77" s="78"/>
      <c r="Z77" s="58" t="str">
        <f>$W$98</f>
        <v>Portugal</v>
      </c>
      <c r="AA77" s="58" t="str">
        <f>$AC$98</f>
        <v>England</v>
      </c>
      <c r="AC77" s="74"/>
      <c r="AD77" s="13"/>
    </row>
    <row r="78" spans="4:30" ht="13.5" thickBot="1">
      <c r="D78" s="12"/>
      <c r="E78" s="4"/>
      <c r="F78" s="4"/>
      <c r="G78" s="76" t="s">
        <v>48</v>
      </c>
      <c r="H78" s="83"/>
      <c r="I78" s="46"/>
      <c r="K78" s="13"/>
      <c r="V78" s="12"/>
      <c r="W78" s="4"/>
      <c r="X78" s="4"/>
      <c r="Y78" s="76" t="s">
        <v>48</v>
      </c>
      <c r="Z78" s="83"/>
      <c r="AA78" s="46"/>
      <c r="AC78" s="74"/>
      <c r="AD78" s="13"/>
    </row>
    <row r="79" spans="4:30" ht="13.5" thickBot="1">
      <c r="D79" s="12"/>
      <c r="E79" s="4"/>
      <c r="F79" s="4"/>
      <c r="G79" s="76" t="s">
        <v>49</v>
      </c>
      <c r="H79" s="83"/>
      <c r="I79" s="46"/>
      <c r="K79" s="13"/>
      <c r="V79" s="12"/>
      <c r="W79" s="4"/>
      <c r="X79" s="4"/>
      <c r="Y79" s="76" t="s">
        <v>49</v>
      </c>
      <c r="Z79" s="83"/>
      <c r="AA79" s="46"/>
      <c r="AC79" s="74"/>
      <c r="AD79" s="13"/>
    </row>
    <row r="80" spans="4:30" ht="13.5" thickBot="1">
      <c r="D80" s="12"/>
      <c r="E80" s="4"/>
      <c r="F80" s="4"/>
      <c r="G80" s="76" t="s">
        <v>50</v>
      </c>
      <c r="H80" s="83"/>
      <c r="I80" s="46"/>
      <c r="K80" s="13"/>
      <c r="V80" s="12"/>
      <c r="W80" s="4"/>
      <c r="X80" s="4"/>
      <c r="Y80" s="76" t="s">
        <v>50</v>
      </c>
      <c r="Z80" s="83"/>
      <c r="AA80" s="83"/>
      <c r="AC80" s="74"/>
      <c r="AD80" s="13"/>
    </row>
    <row r="81" spans="4:30" ht="13.5" thickBot="1">
      <c r="D81" s="12"/>
      <c r="E81" s="4"/>
      <c r="F81" s="4"/>
      <c r="G81" s="76" t="s">
        <v>51</v>
      </c>
      <c r="H81" s="83"/>
      <c r="I81" s="46"/>
      <c r="K81" s="13"/>
      <c r="V81" s="12"/>
      <c r="W81" s="4"/>
      <c r="X81" s="4"/>
      <c r="Y81" s="76" t="s">
        <v>51</v>
      </c>
      <c r="Z81" s="83"/>
      <c r="AA81" s="46"/>
      <c r="AC81" s="74"/>
      <c r="AD81" s="13"/>
    </row>
    <row r="82" spans="4:30" ht="13.5" thickBot="1">
      <c r="D82" s="12"/>
      <c r="E82" s="4"/>
      <c r="F82" s="4"/>
      <c r="G82" s="76" t="s">
        <v>52</v>
      </c>
      <c r="H82" s="48"/>
      <c r="I82" s="45"/>
      <c r="K82" s="13"/>
      <c r="V82" s="12"/>
      <c r="W82" s="4"/>
      <c r="X82" s="4"/>
      <c r="Y82" s="76" t="s">
        <v>52</v>
      </c>
      <c r="Z82" s="48"/>
      <c r="AA82" s="45"/>
      <c r="AC82" s="74"/>
      <c r="AD82" s="13"/>
    </row>
    <row r="83" spans="4:30" ht="13.5" thickBot="1">
      <c r="D83" s="12"/>
      <c r="E83" s="4"/>
      <c r="F83" s="4"/>
      <c r="G83" s="76" t="s">
        <v>53</v>
      </c>
      <c r="H83" s="49"/>
      <c r="I83" s="35"/>
      <c r="K83" s="13"/>
      <c r="V83" s="12"/>
      <c r="W83" s="4"/>
      <c r="X83" s="4"/>
      <c r="Y83" s="76" t="s">
        <v>53</v>
      </c>
      <c r="Z83" s="49"/>
      <c r="AA83" s="35"/>
      <c r="AC83" s="74"/>
      <c r="AD83" s="13"/>
    </row>
    <row r="84" spans="4:30" ht="13.5" thickBot="1">
      <c r="D84" s="12"/>
      <c r="E84" s="4"/>
      <c r="F84" s="4"/>
      <c r="G84" s="76" t="s">
        <v>55</v>
      </c>
      <c r="H84" s="49"/>
      <c r="I84" s="35"/>
      <c r="K84" s="13"/>
      <c r="V84" s="12"/>
      <c r="W84" s="4"/>
      <c r="X84" s="4"/>
      <c r="Y84" s="76" t="s">
        <v>55</v>
      </c>
      <c r="Z84" s="49"/>
      <c r="AA84" s="35"/>
      <c r="AC84" s="74"/>
      <c r="AD84" s="13"/>
    </row>
    <row r="85" spans="4:30" ht="13.5" thickBot="1">
      <c r="D85" s="12"/>
      <c r="E85" s="4"/>
      <c r="F85" s="4"/>
      <c r="G85" s="76" t="s">
        <v>119</v>
      </c>
      <c r="H85" s="49"/>
      <c r="I85" s="35"/>
      <c r="J85" s="1" t="s">
        <v>11</v>
      </c>
      <c r="K85" s="13"/>
      <c r="V85" s="12"/>
      <c r="W85" s="4"/>
      <c r="X85" s="4"/>
      <c r="Y85" s="76" t="s">
        <v>119</v>
      </c>
      <c r="Z85" s="49"/>
      <c r="AA85" s="35"/>
      <c r="AB85" s="1" t="s">
        <v>11</v>
      </c>
      <c r="AC85" s="74"/>
      <c r="AD85" s="13"/>
    </row>
    <row r="86" spans="4:30" ht="13.5" thickBot="1">
      <c r="D86" s="12"/>
      <c r="E86" s="4"/>
      <c r="F86" s="4"/>
      <c r="G86" s="76" t="s">
        <v>120</v>
      </c>
      <c r="H86" s="49"/>
      <c r="I86" s="35"/>
      <c r="J86" s="81" t="s">
        <v>30</v>
      </c>
      <c r="K86" s="13"/>
      <c r="V86" s="12"/>
      <c r="W86" s="4"/>
      <c r="X86" s="4"/>
      <c r="Y86" s="76" t="s">
        <v>120</v>
      </c>
      <c r="Z86" s="49"/>
      <c r="AA86" s="35"/>
      <c r="AB86" s="81" t="s">
        <v>30</v>
      </c>
      <c r="AC86" s="74"/>
      <c r="AD86" s="13"/>
    </row>
    <row r="87" spans="4:30" ht="13.5" thickBot="1">
      <c r="D87" s="12"/>
      <c r="E87" s="4"/>
      <c r="F87" s="4"/>
      <c r="G87" s="76" t="s">
        <v>121</v>
      </c>
      <c r="H87" s="49"/>
      <c r="I87" s="35"/>
      <c r="J87" s="1" t="s">
        <v>31</v>
      </c>
      <c r="K87" s="13"/>
      <c r="V87" s="12"/>
      <c r="W87" s="4"/>
      <c r="X87" s="4"/>
      <c r="Y87" s="76" t="s">
        <v>121</v>
      </c>
      <c r="Z87" s="49"/>
      <c r="AA87" s="35"/>
      <c r="AB87" s="1" t="s">
        <v>31</v>
      </c>
      <c r="AC87" s="74"/>
      <c r="AD87" s="13"/>
    </row>
    <row r="88" spans="4:30" ht="13.5" thickBot="1">
      <c r="D88" s="12"/>
      <c r="E88" s="4"/>
      <c r="F88" s="4"/>
      <c r="G88" s="76" t="s">
        <v>123</v>
      </c>
      <c r="H88" s="48"/>
      <c r="I88" s="45"/>
      <c r="K88" s="13"/>
      <c r="V88" s="12"/>
      <c r="W88" s="4"/>
      <c r="X88" s="4"/>
      <c r="Y88" s="76" t="s">
        <v>123</v>
      </c>
      <c r="Z88" s="48"/>
      <c r="AA88" s="48"/>
      <c r="AC88" s="74"/>
      <c r="AD88" s="13"/>
    </row>
    <row r="89" spans="4:30" ht="13.5" thickBot="1">
      <c r="D89" s="12"/>
      <c r="E89" s="4"/>
      <c r="F89" s="4"/>
      <c r="G89" s="63" t="s">
        <v>9</v>
      </c>
      <c r="H89" s="48"/>
      <c r="I89" s="45"/>
      <c r="K89" s="13"/>
      <c r="V89" s="12"/>
      <c r="W89" s="4"/>
      <c r="X89" s="4"/>
      <c r="Y89" s="63" t="s">
        <v>9</v>
      </c>
      <c r="Z89" s="48"/>
      <c r="AA89" s="45"/>
      <c r="AC89" s="74"/>
      <c r="AD89" s="13"/>
    </row>
    <row r="90" spans="4:30" ht="13.5" thickBot="1">
      <c r="D90" s="64"/>
      <c r="E90" s="10"/>
      <c r="F90" s="10"/>
      <c r="G90" s="65" t="s">
        <v>10</v>
      </c>
      <c r="H90" s="48"/>
      <c r="I90" s="45"/>
      <c r="K90" s="13"/>
      <c r="V90" s="64"/>
      <c r="W90" s="10"/>
      <c r="X90" s="10"/>
      <c r="Y90" s="65" t="s">
        <v>10</v>
      </c>
      <c r="Z90" s="48"/>
      <c r="AA90" s="45"/>
      <c r="AC90" s="74"/>
      <c r="AD90" s="13"/>
    </row>
    <row r="91" spans="7:32" ht="24">
      <c r="G91" s="56" t="s">
        <v>105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Y91" s="56" t="s">
        <v>105</v>
      </c>
      <c r="Z91" s="56"/>
      <c r="AA91" s="23"/>
      <c r="AB91" s="23"/>
      <c r="AC91" s="23"/>
      <c r="AD91" s="23"/>
      <c r="AE91" s="23"/>
      <c r="AF91" s="23"/>
    </row>
    <row r="92" spans="2:26" ht="12.75">
      <c r="B92" s="23"/>
      <c r="C92" s="23"/>
      <c r="D92" s="23"/>
      <c r="E92" s="23"/>
      <c r="F92" s="23"/>
      <c r="G92" s="2" t="s">
        <v>19</v>
      </c>
      <c r="T92" s="23"/>
      <c r="U92" s="23"/>
      <c r="V92" s="23"/>
      <c r="W92" s="23"/>
      <c r="X92" s="23"/>
      <c r="Y92" s="2" t="s">
        <v>19</v>
      </c>
      <c r="Z92" s="2"/>
    </row>
    <row r="93" spans="3:32" ht="13.5" thickBot="1">
      <c r="C93" s="1" t="s">
        <v>56</v>
      </c>
      <c r="G93" s="2" t="s">
        <v>20</v>
      </c>
      <c r="J93" s="23"/>
      <c r="L93" s="3" t="s">
        <v>21</v>
      </c>
      <c r="M93" s="3"/>
      <c r="N93" s="3"/>
      <c r="O93" s="3"/>
      <c r="P93" s="3"/>
      <c r="Q93" s="3"/>
      <c r="R93" s="3"/>
      <c r="S93" s="3"/>
      <c r="U93" s="1" t="s">
        <v>56</v>
      </c>
      <c r="Y93" s="2" t="s">
        <v>20</v>
      </c>
      <c r="Z93" s="2"/>
      <c r="AC93" s="23"/>
      <c r="AE93" s="3" t="s">
        <v>21</v>
      </c>
      <c r="AF93" s="8"/>
    </row>
    <row r="94" spans="2:32" ht="13.5" thickBot="1">
      <c r="B94" s="23"/>
      <c r="C94" s="25"/>
      <c r="D94" s="5"/>
      <c r="E94" s="5"/>
      <c r="F94" s="5"/>
      <c r="G94" s="6" t="s">
        <v>46</v>
      </c>
      <c r="H94" s="5"/>
      <c r="I94" s="5"/>
      <c r="J94" s="5"/>
      <c r="K94" s="7"/>
      <c r="L94" s="23"/>
      <c r="M94" s="23"/>
      <c r="N94" s="23"/>
      <c r="O94" s="23"/>
      <c r="P94" s="23"/>
      <c r="Q94" s="23"/>
      <c r="R94" s="23"/>
      <c r="S94" s="23"/>
      <c r="T94" s="23"/>
      <c r="U94" s="25"/>
      <c r="V94" s="5"/>
      <c r="W94" s="5"/>
      <c r="X94" s="5"/>
      <c r="Y94" s="6" t="s">
        <v>46</v>
      </c>
      <c r="Z94" s="6"/>
      <c r="AA94" s="5"/>
      <c r="AB94" s="5"/>
      <c r="AC94" s="7"/>
      <c r="AD94" s="8"/>
      <c r="AE94" s="23"/>
      <c r="AF94" s="23"/>
    </row>
    <row r="95" spans="2:28" ht="13.5" thickBot="1">
      <c r="B95" s="23"/>
      <c r="C95" s="23"/>
      <c r="D95" s="23"/>
      <c r="E95" s="26"/>
      <c r="F95" s="27"/>
      <c r="G95" s="11" t="s">
        <v>78</v>
      </c>
      <c r="H95" s="10"/>
      <c r="I95" s="12"/>
      <c r="T95" s="23"/>
      <c r="U95" s="23"/>
      <c r="V95" s="23"/>
      <c r="W95" s="26"/>
      <c r="X95" s="27"/>
      <c r="Y95" s="11" t="s">
        <v>96</v>
      </c>
      <c r="Z95" s="11"/>
      <c r="AA95" s="10"/>
      <c r="AB95" s="12"/>
    </row>
    <row r="96" spans="3:21" ht="12.75">
      <c r="C96" s="1" t="s">
        <v>45</v>
      </c>
      <c r="U96" s="1" t="s">
        <v>45</v>
      </c>
    </row>
    <row r="97" spans="3:21" ht="12.75">
      <c r="C97" s="1" t="s">
        <v>109</v>
      </c>
      <c r="U97" s="1" t="s">
        <v>109</v>
      </c>
    </row>
    <row r="98" spans="5:29" ht="12.75">
      <c r="E98" s="2" t="str">
        <f>$AM$5</f>
        <v>China</v>
      </c>
      <c r="J98" s="2" t="str">
        <f>$AM$6</f>
        <v>India</v>
      </c>
      <c r="W98" s="2" t="str">
        <f>$AN$5</f>
        <v>Portugal</v>
      </c>
      <c r="AC98" s="2" t="str">
        <f>$AN$6</f>
        <v>England</v>
      </c>
    </row>
    <row r="99" spans="4:29" ht="13.5" thickBot="1">
      <c r="D99" s="3" t="s">
        <v>104</v>
      </c>
      <c r="E99" s="16" t="str">
        <f>$AM$7</f>
        <v>Gold</v>
      </c>
      <c r="H99" s="3"/>
      <c r="I99" s="3" t="s">
        <v>104</v>
      </c>
      <c r="J99" s="16" t="str">
        <f>$AM$7</f>
        <v>Gold</v>
      </c>
      <c r="V99" s="3" t="s">
        <v>104</v>
      </c>
      <c r="W99" s="16" t="str">
        <f>$AN$7</f>
        <v>Wine</v>
      </c>
      <c r="AA99" s="3"/>
      <c r="AB99" s="3" t="s">
        <v>104</v>
      </c>
      <c r="AC99" s="16" t="str">
        <f>$AN$7</f>
        <v>Wine</v>
      </c>
    </row>
    <row r="100" spans="3:30" ht="13.5" thickBot="1">
      <c r="C100" s="29" t="s">
        <v>22</v>
      </c>
      <c r="D100" s="30">
        <f>$AM$8</f>
        <v>200</v>
      </c>
      <c r="E100" s="30">
        <f>$AM$9</f>
        <v>-8</v>
      </c>
      <c r="F100" s="31" t="s">
        <v>23</v>
      </c>
      <c r="H100" s="29" t="s">
        <v>22</v>
      </c>
      <c r="I100" s="30">
        <f>$AM$12</f>
        <v>480</v>
      </c>
      <c r="J100" s="30">
        <f>$AM$13</f>
        <v>-4</v>
      </c>
      <c r="K100" s="31" t="s">
        <v>23</v>
      </c>
      <c r="U100" s="29" t="s">
        <v>22</v>
      </c>
      <c r="V100" s="30">
        <f>$AN$8</f>
        <v>280</v>
      </c>
      <c r="W100" s="30">
        <f>$AN$9</f>
        <v>-8</v>
      </c>
      <c r="X100" s="31" t="s">
        <v>23</v>
      </c>
      <c r="AA100" s="29" t="s">
        <v>22</v>
      </c>
      <c r="AB100" s="30">
        <f>$AN$12</f>
        <v>450</v>
      </c>
      <c r="AC100" s="30">
        <f>$AN$13</f>
        <v>-4</v>
      </c>
      <c r="AD100" s="31" t="s">
        <v>23</v>
      </c>
    </row>
    <row r="101" spans="3:30" ht="13.5" thickBot="1">
      <c r="C101" s="29" t="s">
        <v>24</v>
      </c>
      <c r="D101" s="30">
        <f>$AM$10</f>
        <v>32</v>
      </c>
      <c r="E101" s="32">
        <f>$AM$11</f>
        <v>6.4</v>
      </c>
      <c r="F101" s="31" t="s">
        <v>25</v>
      </c>
      <c r="H101" s="29" t="s">
        <v>24</v>
      </c>
      <c r="I101" s="30">
        <f>$AM$14</f>
        <v>100</v>
      </c>
      <c r="J101" s="32">
        <f>$AM$15</f>
        <v>1.6</v>
      </c>
      <c r="K101" s="31" t="s">
        <v>25</v>
      </c>
      <c r="U101" s="29" t="s">
        <v>24</v>
      </c>
      <c r="V101" s="30">
        <f>$AN$10</f>
        <v>42</v>
      </c>
      <c r="W101" s="32">
        <f>$AN$11</f>
        <v>6</v>
      </c>
      <c r="X101" s="31" t="s">
        <v>25</v>
      </c>
      <c r="AA101" s="29" t="s">
        <v>24</v>
      </c>
      <c r="AB101" s="30">
        <f>$AN$14</f>
        <v>120</v>
      </c>
      <c r="AC101" s="32">
        <f>$AN$15</f>
        <v>4</v>
      </c>
      <c r="AD101" s="31" t="s">
        <v>25</v>
      </c>
    </row>
    <row r="102" spans="5:29" ht="12.75">
      <c r="E102" s="2" t="str">
        <f>$AM$5</f>
        <v>China</v>
      </c>
      <c r="J102" s="2" t="str">
        <f>$AM$6</f>
        <v>India</v>
      </c>
      <c r="W102" s="2" t="str">
        <f>$AN$5</f>
        <v>Portugal</v>
      </c>
      <c r="AC102" s="2" t="str">
        <f>$AN$6</f>
        <v>England</v>
      </c>
    </row>
    <row r="103" spans="4:29" ht="13.5" thickBot="1">
      <c r="D103" s="3" t="s">
        <v>104</v>
      </c>
      <c r="E103" s="16" t="str">
        <f>$AM$35</f>
        <v>Textiles</v>
      </c>
      <c r="H103" s="3"/>
      <c r="I103" s="3" t="s">
        <v>104</v>
      </c>
      <c r="J103" s="16" t="str">
        <f>$AM$35</f>
        <v>Textiles</v>
      </c>
      <c r="V103" s="3" t="s">
        <v>104</v>
      </c>
      <c r="W103" s="16" t="str">
        <f>$AN$35</f>
        <v>Textiles</v>
      </c>
      <c r="AA103" s="3"/>
      <c r="AB103" s="3" t="s">
        <v>104</v>
      </c>
      <c r="AC103" s="16" t="str">
        <f>$AN$35</f>
        <v>Textiles</v>
      </c>
    </row>
    <row r="104" spans="3:30" ht="13.5" thickBot="1">
      <c r="C104" s="29" t="s">
        <v>22</v>
      </c>
      <c r="D104" s="30">
        <f>$AM$36</f>
        <v>360</v>
      </c>
      <c r="E104" s="30">
        <f>$AM$37</f>
        <v>-3.2</v>
      </c>
      <c r="F104" s="31" t="s">
        <v>23</v>
      </c>
      <c r="H104" s="29" t="s">
        <v>22</v>
      </c>
      <c r="I104" s="30">
        <f>$AM$40</f>
        <v>192</v>
      </c>
      <c r="J104" s="30">
        <f>$AM$41</f>
        <v>-6.4</v>
      </c>
      <c r="K104" s="31" t="s">
        <v>23</v>
      </c>
      <c r="U104" s="29" t="s">
        <v>22</v>
      </c>
      <c r="V104" s="30">
        <f>$AN$36</f>
        <v>440</v>
      </c>
      <c r="W104" s="30">
        <f>$AN$37</f>
        <v>-6</v>
      </c>
      <c r="X104" s="31" t="s">
        <v>23</v>
      </c>
      <c r="AA104" s="29" t="s">
        <v>22</v>
      </c>
      <c r="AB104" s="30">
        <f>$AN$40</f>
        <v>260</v>
      </c>
      <c r="AC104" s="30">
        <f>$AN$41</f>
        <v>-10</v>
      </c>
      <c r="AD104" s="31" t="s">
        <v>23</v>
      </c>
    </row>
    <row r="105" spans="3:30" ht="13.5" thickBot="1">
      <c r="C105" s="29" t="s">
        <v>24</v>
      </c>
      <c r="D105" s="30">
        <f>$AM$38</f>
        <v>96</v>
      </c>
      <c r="E105" s="32">
        <f>$AM$39</f>
        <v>2</v>
      </c>
      <c r="F105" s="31" t="s">
        <v>25</v>
      </c>
      <c r="H105" s="29" t="s">
        <v>24</v>
      </c>
      <c r="I105" s="30">
        <f>$AM$42</f>
        <v>28</v>
      </c>
      <c r="J105" s="32">
        <f>$AM$43</f>
        <v>4.800000000000001</v>
      </c>
      <c r="K105" s="31" t="s">
        <v>25</v>
      </c>
      <c r="U105" s="29" t="s">
        <v>24</v>
      </c>
      <c r="V105" s="30">
        <f>$AN$38</f>
        <v>124</v>
      </c>
      <c r="W105" s="32">
        <f>$AN$39</f>
        <v>4</v>
      </c>
      <c r="X105" s="31" t="s">
        <v>25</v>
      </c>
      <c r="AA105" s="29" t="s">
        <v>24</v>
      </c>
      <c r="AB105" s="30">
        <f>$AN$42</f>
        <v>40</v>
      </c>
      <c r="AC105" s="32">
        <f>$AN$43</f>
        <v>8</v>
      </c>
      <c r="AD105" s="31" t="s">
        <v>25</v>
      </c>
    </row>
    <row r="106" spans="2:21" ht="12.75">
      <c r="B106" s="33">
        <v>1</v>
      </c>
      <c r="C106" s="1" t="s">
        <v>1</v>
      </c>
      <c r="T106" s="33">
        <v>1</v>
      </c>
      <c r="U106" s="1" t="s">
        <v>1</v>
      </c>
    </row>
    <row r="107" spans="5:30" ht="12.75">
      <c r="E107" s="67" t="s">
        <v>38</v>
      </c>
      <c r="F107" s="68" t="str">
        <f>$E$99</f>
        <v>Gold</v>
      </c>
      <c r="I107" s="3" t="s">
        <v>39</v>
      </c>
      <c r="J107" s="68" t="str">
        <f>$J$103</f>
        <v>Textiles</v>
      </c>
      <c r="X107" s="3" t="s">
        <v>38</v>
      </c>
      <c r="Y107" s="15" t="str">
        <f>$AN$7</f>
        <v>Wine</v>
      </c>
      <c r="Z107" s="15"/>
      <c r="AC107" s="3" t="s">
        <v>39</v>
      </c>
      <c r="AD107" s="15" t="str">
        <f>$AN$35</f>
        <v>Textiles</v>
      </c>
    </row>
    <row r="108" spans="5:29" ht="13.5" thickBot="1">
      <c r="E108" s="2" t="s">
        <v>26</v>
      </c>
      <c r="I108" s="2" t="s">
        <v>26</v>
      </c>
      <c r="W108" s="2" t="s">
        <v>26</v>
      </c>
      <c r="AC108" s="2" t="s">
        <v>26</v>
      </c>
    </row>
    <row r="109" spans="5:30" ht="13.5" thickBot="1">
      <c r="E109" s="34" t="str">
        <f>$AM$5</f>
        <v>China</v>
      </c>
      <c r="F109" s="19" t="str">
        <f>$AM$6</f>
        <v>India</v>
      </c>
      <c r="I109" s="34" t="str">
        <f>$AM$5</f>
        <v>China</v>
      </c>
      <c r="J109" s="19" t="str">
        <f>$AM$6</f>
        <v>India</v>
      </c>
      <c r="W109" s="34" t="str">
        <f>$AN$5</f>
        <v>Portugal</v>
      </c>
      <c r="X109" s="19" t="str">
        <f>$AN$6</f>
        <v>England</v>
      </c>
      <c r="AC109" s="34" t="str">
        <f>$AN$5</f>
        <v>Portugal</v>
      </c>
      <c r="AD109" s="19" t="str">
        <f>$AN$6</f>
        <v>England</v>
      </c>
    </row>
    <row r="110" spans="4:30" ht="13.5" thickBot="1">
      <c r="D110" s="3" t="s">
        <v>27</v>
      </c>
      <c r="E110" s="20">
        <f>(D100-D101)/(-E100+E101)</f>
        <v>11.666666666666666</v>
      </c>
      <c r="F110" s="20">
        <f>(I100-I101)/(-J100+J101)</f>
        <v>67.85714285714286</v>
      </c>
      <c r="H110" s="3" t="s">
        <v>27</v>
      </c>
      <c r="I110" s="20">
        <f>(D104-D105)/(-E104+E105)</f>
        <v>50.76923076923077</v>
      </c>
      <c r="J110" s="20">
        <f>(I104-I105)/(-J104+J105)</f>
        <v>14.642857142857142</v>
      </c>
      <c r="V110" s="3" t="s">
        <v>27</v>
      </c>
      <c r="W110" s="20">
        <f>(V100-V101)/(-W100+W101)</f>
        <v>17</v>
      </c>
      <c r="X110" s="20">
        <f>(AB100-AB101)/(-AC100+AC101)</f>
        <v>41.25</v>
      </c>
      <c r="AB110" s="3" t="s">
        <v>27</v>
      </c>
      <c r="AC110" s="20">
        <f>(V104-V105)/(-W104+W105)</f>
        <v>31.6</v>
      </c>
      <c r="AD110" s="20">
        <f>(AB104-AB105)/(-AC104+AC105)</f>
        <v>12.222222222222221</v>
      </c>
    </row>
    <row r="111" spans="4:30" ht="13.5" thickBot="1">
      <c r="D111" s="3" t="s">
        <v>28</v>
      </c>
      <c r="E111" s="35">
        <f>$D$100+$E$100*$E$110</f>
        <v>106.66666666666667</v>
      </c>
      <c r="F111" s="35">
        <f>I100+J100*F110</f>
        <v>208.57142857142856</v>
      </c>
      <c r="H111" s="3" t="s">
        <v>28</v>
      </c>
      <c r="I111" s="35">
        <f>$D$104+$E$104*I110</f>
        <v>197.53846153846155</v>
      </c>
      <c r="J111" s="35">
        <f>$I$105+$J$105*J110</f>
        <v>98.28571428571429</v>
      </c>
      <c r="V111" s="3" t="s">
        <v>28</v>
      </c>
      <c r="W111" s="35">
        <f>V100+W100*W110</f>
        <v>144</v>
      </c>
      <c r="X111" s="35">
        <f>AB100+AC100*X110</f>
        <v>285</v>
      </c>
      <c r="AB111" s="3" t="s">
        <v>28</v>
      </c>
      <c r="AC111" s="35">
        <f>V104+W104*AC110</f>
        <v>250.39999999999998</v>
      </c>
      <c r="AD111" s="35">
        <f>AB104+AC104*AD110</f>
        <v>137.77777777777777</v>
      </c>
    </row>
    <row r="112" spans="4:30" ht="13.5" thickBot="1">
      <c r="D112" s="3" t="s">
        <v>29</v>
      </c>
      <c r="E112" s="35">
        <f>E110*E111</f>
        <v>1244.4444444444443</v>
      </c>
      <c r="F112" s="35">
        <f>F110*F111</f>
        <v>14153.061224489795</v>
      </c>
      <c r="H112" s="3" t="s">
        <v>29</v>
      </c>
      <c r="I112" s="35">
        <f>I110*I111</f>
        <v>10028.875739644971</v>
      </c>
      <c r="J112" s="35">
        <f>J110*J111</f>
        <v>1439.1836734693877</v>
      </c>
      <c r="V112" s="3" t="s">
        <v>29</v>
      </c>
      <c r="W112" s="35">
        <f>W110*W111</f>
        <v>2448</v>
      </c>
      <c r="X112" s="35">
        <f>X110*X111</f>
        <v>11756.25</v>
      </c>
      <c r="AB112" s="3" t="s">
        <v>29</v>
      </c>
      <c r="AC112" s="35">
        <f>AC110*AC111</f>
        <v>7912.639999999999</v>
      </c>
      <c r="AD112" s="35">
        <f>AD110*AD111</f>
        <v>1683.9506172839504</v>
      </c>
    </row>
    <row r="113" spans="4:30" ht="13.5" thickBot="1">
      <c r="D113" s="3" t="s">
        <v>40</v>
      </c>
      <c r="E113" s="36">
        <f>E111/(E100*E110)</f>
        <v>-1.142857142857143</v>
      </c>
      <c r="F113" s="36">
        <f>F111/(J100*F110)</f>
        <v>-0.7684210526315789</v>
      </c>
      <c r="G113" s="66"/>
      <c r="H113" s="3" t="s">
        <v>70</v>
      </c>
      <c r="I113" s="36">
        <f>I111/(I100*I110)</f>
        <v>0.008106060606060606</v>
      </c>
      <c r="J113" s="36">
        <f>J111/($J$104*J110)</f>
        <v>-1.048780487804878</v>
      </c>
      <c r="V113" s="3" t="s">
        <v>70</v>
      </c>
      <c r="W113" s="36">
        <f>W111/(W100*W110)</f>
        <v>-1.0588235294117647</v>
      </c>
      <c r="X113" s="36">
        <f>X111/(AC100*X110)</f>
        <v>-1.7272727272727273</v>
      </c>
      <c r="AB113" s="3" t="s">
        <v>70</v>
      </c>
      <c r="AC113" s="36">
        <f>AC111/(W104*AC110)</f>
        <v>-1.3206751054852317</v>
      </c>
      <c r="AD113" s="36">
        <f>AD111/(AD110*AC104)</f>
        <v>-1.1272727272727272</v>
      </c>
    </row>
    <row r="114" spans="6:30" ht="13.5" thickBot="1">
      <c r="F114" s="3" t="s">
        <v>2</v>
      </c>
      <c r="G114" s="66"/>
      <c r="J114" s="3" t="s">
        <v>2</v>
      </c>
      <c r="V114" s="3"/>
      <c r="W114" s="66"/>
      <c r="X114" s="3" t="s">
        <v>2</v>
      </c>
      <c r="AB114" s="3"/>
      <c r="AC114" s="66"/>
      <c r="AD114" s="3" t="s">
        <v>2</v>
      </c>
    </row>
    <row r="115" spans="5:30" ht="13.5" thickBot="1">
      <c r="E115" s="19" t="str">
        <f>$E$109</f>
        <v>China</v>
      </c>
      <c r="F115" s="19" t="str">
        <f>$F$109</f>
        <v>India</v>
      </c>
      <c r="G115" s="66"/>
      <c r="I115" s="19" t="str">
        <f>$E$109</f>
        <v>China</v>
      </c>
      <c r="J115" s="19" t="str">
        <f>$F$109</f>
        <v>India</v>
      </c>
      <c r="W115" s="19" t="str">
        <f>W109</f>
        <v>Portugal</v>
      </c>
      <c r="X115" s="19" t="str">
        <f>X109</f>
        <v>England</v>
      </c>
      <c r="AC115" s="19" t="str">
        <f>AC109</f>
        <v>Portugal</v>
      </c>
      <c r="AD115" s="19" t="str">
        <f>AD109</f>
        <v>England</v>
      </c>
    </row>
    <row r="116" spans="4:30" ht="13.5" thickBot="1">
      <c r="D116" s="3" t="s">
        <v>4</v>
      </c>
      <c r="E116" s="35">
        <f>(D100-D101)*E110*0.5</f>
        <v>980</v>
      </c>
      <c r="F116" s="35">
        <f>(I100-I101)*F110*0.5</f>
        <v>12892.857142857143</v>
      </c>
      <c r="G116" s="66"/>
      <c r="H116" s="3" t="s">
        <v>4</v>
      </c>
      <c r="I116" s="35">
        <f>($D$104-$D$105)*I110*0.5</f>
        <v>6701.538461538461</v>
      </c>
      <c r="J116" s="35">
        <f>($I$104-$I$105)*J110*0.5</f>
        <v>1200.7142857142858</v>
      </c>
      <c r="V116" s="3" t="s">
        <v>4</v>
      </c>
      <c r="W116" s="35">
        <f>(V100-V101)*W110*0.5</f>
        <v>2023</v>
      </c>
      <c r="X116" s="35">
        <f>(AB100-AB101)*X110*0.5</f>
        <v>6806.25</v>
      </c>
      <c r="AB116" s="3" t="s">
        <v>4</v>
      </c>
      <c r="AC116" s="35">
        <f>(V104-V105)*AC110*0.5</f>
        <v>4992.8</v>
      </c>
      <c r="AD116" s="35">
        <f>((AB104-AB105)*AD110*0.5)</f>
        <v>1344.4444444444443</v>
      </c>
    </row>
    <row r="117" spans="5:39" ht="12.75">
      <c r="E117" s="1" t="s">
        <v>3</v>
      </c>
      <c r="G117" s="66"/>
      <c r="I117" s="1" t="s">
        <v>3</v>
      </c>
      <c r="W117" s="1" t="s">
        <v>3</v>
      </c>
      <c r="AC117" s="1" t="s">
        <v>3</v>
      </c>
      <c r="AK117" s="13"/>
      <c r="AL117" s="18"/>
      <c r="AM117" s="1"/>
    </row>
    <row r="118" spans="2:39" ht="12.75">
      <c r="B118" s="33">
        <v>2</v>
      </c>
      <c r="C118" s="1" t="s">
        <v>66</v>
      </c>
      <c r="T118" s="33">
        <v>2</v>
      </c>
      <c r="U118" s="1" t="s">
        <v>66</v>
      </c>
      <c r="AK118" s="13"/>
      <c r="AL118" s="18"/>
      <c r="AM118" s="1"/>
    </row>
    <row r="119" spans="5:39" ht="13.5" thickBot="1">
      <c r="E119" s="3" t="s">
        <v>111</v>
      </c>
      <c r="F119" s="68" t="str">
        <f>$E$99</f>
        <v>Gold</v>
      </c>
      <c r="I119" s="3" t="s">
        <v>111</v>
      </c>
      <c r="J119" s="68" t="str">
        <f>$J$103</f>
        <v>Textiles</v>
      </c>
      <c r="W119" s="2"/>
      <c r="X119" s="3" t="s">
        <v>111</v>
      </c>
      <c r="Y119" s="15" t="str">
        <f>Y107</f>
        <v>Wine</v>
      </c>
      <c r="Z119" s="15"/>
      <c r="AD119" s="3" t="s">
        <v>111</v>
      </c>
      <c r="AE119" s="15" t="str">
        <f>AD107</f>
        <v>Textiles</v>
      </c>
      <c r="AK119" s="13"/>
      <c r="AL119" s="18"/>
      <c r="AM119" s="1"/>
    </row>
    <row r="120" spans="3:39" ht="13.5" thickBot="1">
      <c r="C120" s="29" t="s">
        <v>22</v>
      </c>
      <c r="D120" s="30">
        <f>$AM$23</f>
        <v>386.6666666666667</v>
      </c>
      <c r="E120" s="30">
        <f>$AM$24</f>
        <v>-2.6666666666666665</v>
      </c>
      <c r="F120" s="31" t="s">
        <v>23</v>
      </c>
      <c r="H120" s="29" t="s">
        <v>22</v>
      </c>
      <c r="I120" s="30">
        <f>$AM$51</f>
        <v>304</v>
      </c>
      <c r="J120" s="30">
        <f>$AM$52</f>
        <v>-2.1333333333333333</v>
      </c>
      <c r="K120" s="31" t="s">
        <v>23</v>
      </c>
      <c r="V120" s="29" t="s">
        <v>22</v>
      </c>
      <c r="W120" s="30">
        <f>AN23</f>
        <v>393.3333333333333</v>
      </c>
      <c r="X120" s="30">
        <f>AN24</f>
        <v>-2.6666666666666665</v>
      </c>
      <c r="Y120" s="31" t="s">
        <v>23</v>
      </c>
      <c r="Z120" s="86"/>
      <c r="AB120" s="29" t="s">
        <v>22</v>
      </c>
      <c r="AC120" s="30">
        <f>$AN$51</f>
        <v>372.5</v>
      </c>
      <c r="AD120" s="30">
        <f>$AN$52</f>
        <v>-3.75</v>
      </c>
      <c r="AE120" s="31" t="s">
        <v>23</v>
      </c>
      <c r="AK120" s="13"/>
      <c r="AL120" s="18"/>
      <c r="AM120" s="1"/>
    </row>
    <row r="121" spans="3:39" ht="13.5" thickBot="1">
      <c r="C121" s="29" t="s">
        <v>24</v>
      </c>
      <c r="D121" s="30">
        <f>$AM$31</f>
        <v>86.4</v>
      </c>
      <c r="E121" s="32">
        <f>$AM$32</f>
        <v>1.28</v>
      </c>
      <c r="F121" s="31" t="s">
        <v>25</v>
      </c>
      <c r="H121" s="29" t="s">
        <v>24</v>
      </c>
      <c r="I121" s="30">
        <f>$AM$59</f>
        <v>76</v>
      </c>
      <c r="J121" s="32">
        <f>$AM$60</f>
        <v>1.411764705882353</v>
      </c>
      <c r="K121" s="31" t="s">
        <v>25</v>
      </c>
      <c r="V121" s="29" t="s">
        <v>24</v>
      </c>
      <c r="W121" s="30">
        <f>AN31</f>
        <v>88.80000000000001</v>
      </c>
      <c r="X121" s="32">
        <f>AN32</f>
        <v>2.4000000000000004</v>
      </c>
      <c r="Y121" s="31" t="s">
        <v>25</v>
      </c>
      <c r="Z121" s="86"/>
      <c r="AB121" s="29" t="s">
        <v>24</v>
      </c>
      <c r="AC121" s="30">
        <f>$AN$59</f>
        <v>96</v>
      </c>
      <c r="AD121" s="32">
        <f>$AN$60</f>
        <v>2.6666666666666665</v>
      </c>
      <c r="AE121" s="31" t="s">
        <v>25</v>
      </c>
      <c r="AK121" s="13"/>
      <c r="AL121" s="18"/>
      <c r="AM121" s="1"/>
    </row>
    <row r="122" spans="5:39" ht="15.75" customHeight="1" thickBot="1">
      <c r="E122" s="3" t="s">
        <v>112</v>
      </c>
      <c r="F122" s="20">
        <f>(D120-D121)/(-E120+E121)</f>
        <v>76.08108108108108</v>
      </c>
      <c r="G122" s="40"/>
      <c r="H122"/>
      <c r="I122" s="3" t="s">
        <v>112</v>
      </c>
      <c r="J122" s="20">
        <f>(I120-I121)/(-J120+J121)</f>
        <v>64.3141592920354</v>
      </c>
      <c r="U122" s="1" t="s">
        <v>134</v>
      </c>
      <c r="W122" s="38"/>
      <c r="X122" s="39"/>
      <c r="Y122" s="40"/>
      <c r="Z122" s="40"/>
      <c r="AA122"/>
      <c r="AB122" s="1" t="s">
        <v>134</v>
      </c>
      <c r="AC122" s="38"/>
      <c r="AD122" s="39"/>
      <c r="AK122" s="13"/>
      <c r="AL122" s="18"/>
      <c r="AM122" s="1"/>
    </row>
    <row r="123" spans="5:39" ht="13.5" thickBot="1">
      <c r="E123" s="3" t="s">
        <v>113</v>
      </c>
      <c r="F123" s="22">
        <f>D120+E120*F122</f>
        <v>183.7837837837838</v>
      </c>
      <c r="H123"/>
      <c r="I123" s="3" t="s">
        <v>113</v>
      </c>
      <c r="J123" s="22">
        <f>$I$120+$J$120*J122</f>
        <v>166.79646017699116</v>
      </c>
      <c r="W123" s="3" t="s">
        <v>137</v>
      </c>
      <c r="X123" s="20">
        <f>(W120-W121)/(-X120+X121)</f>
        <v>60.10526315789473</v>
      </c>
      <c r="AA123"/>
      <c r="AB123"/>
      <c r="AC123" s="3" t="s">
        <v>137</v>
      </c>
      <c r="AD123" s="20">
        <f>(AC120-AC121)/(-AD120+AD121)</f>
        <v>43.09090909090909</v>
      </c>
      <c r="AK123" s="13"/>
      <c r="AL123" s="18"/>
      <c r="AM123" s="1"/>
    </row>
    <row r="124" spans="5:39" ht="13.5" thickBot="1">
      <c r="E124" s="3" t="s">
        <v>139</v>
      </c>
      <c r="F124" s="22">
        <f>F122*F123</f>
        <v>13982.46895544193</v>
      </c>
      <c r="I124" s="3" t="s">
        <v>139</v>
      </c>
      <c r="J124" s="22">
        <f>J122*J123</f>
        <v>10727.374109170649</v>
      </c>
      <c r="W124" s="3" t="s">
        <v>138</v>
      </c>
      <c r="X124" s="22">
        <f>W120+X120*X123</f>
        <v>233.05263157894737</v>
      </c>
      <c r="AC124" s="3" t="s">
        <v>138</v>
      </c>
      <c r="AD124" s="22">
        <f>AC120+AD120*AD123</f>
        <v>210.9090909090909</v>
      </c>
      <c r="AK124" s="13"/>
      <c r="AL124" s="18"/>
      <c r="AM124" s="1"/>
    </row>
    <row r="125" spans="5:39" ht="13.5" thickBot="1">
      <c r="E125" s="3" t="s">
        <v>135</v>
      </c>
      <c r="F125" s="42">
        <f>F123/(E120*F122)</f>
        <v>-0.9058614564831262</v>
      </c>
      <c r="I125" s="3" t="s">
        <v>135</v>
      </c>
      <c r="J125" s="42">
        <f>J123/(J120*J122)</f>
        <v>-1.215686274509804</v>
      </c>
      <c r="W125" s="3" t="s">
        <v>139</v>
      </c>
      <c r="X125" s="22">
        <f>X123*X124</f>
        <v>14007.68975069252</v>
      </c>
      <c r="AC125" s="3" t="s">
        <v>139</v>
      </c>
      <c r="AD125" s="22">
        <f>AD123*AD124</f>
        <v>9088.264462809917</v>
      </c>
      <c r="AK125" s="13"/>
      <c r="AL125" s="18"/>
      <c r="AM125" s="1"/>
    </row>
    <row r="126" spans="5:39" ht="13.5" thickBot="1">
      <c r="E126" s="67" t="s">
        <v>114</v>
      </c>
      <c r="F126" s="35">
        <f>($D$120-$D$121)*F122*0.5</f>
        <v>11422.306306306305</v>
      </c>
      <c r="I126" s="67" t="s">
        <v>114</v>
      </c>
      <c r="J126" s="35">
        <f>($I$120-$I$121)*J122*0.5</f>
        <v>7331.814159292036</v>
      </c>
      <c r="W126" s="3" t="s">
        <v>71</v>
      </c>
      <c r="X126" s="42">
        <f>X124/(X120*X123)</f>
        <v>-1.4540280210157621</v>
      </c>
      <c r="AC126" s="3" t="s">
        <v>71</v>
      </c>
      <c r="AD126" s="42">
        <f>AD124/(AD120*AD123)</f>
        <v>-1.3052039381153304</v>
      </c>
      <c r="AK126" s="13"/>
      <c r="AL126" s="18"/>
      <c r="AM126" s="1"/>
    </row>
    <row r="127" spans="2:39" ht="12.75">
      <c r="B127" s="33">
        <v>3</v>
      </c>
      <c r="C127" s="1" t="s">
        <v>86</v>
      </c>
      <c r="T127" s="33">
        <v>3</v>
      </c>
      <c r="U127" s="1" t="s">
        <v>107</v>
      </c>
      <c r="AK127" s="13"/>
      <c r="AL127" s="18"/>
      <c r="AM127" s="1"/>
    </row>
    <row r="128" spans="2:39" ht="12.75">
      <c r="B128" s="33"/>
      <c r="D128" s="3" t="s">
        <v>104</v>
      </c>
      <c r="E128" s="16" t="str">
        <f>$F$119</f>
        <v>Gold</v>
      </c>
      <c r="H128" s="3" t="s">
        <v>104</v>
      </c>
      <c r="I128" s="16" t="str">
        <f>$J$119</f>
        <v>Textiles</v>
      </c>
      <c r="T128" s="33"/>
      <c r="V128" s="3" t="s">
        <v>104</v>
      </c>
      <c r="W128" s="15" t="str">
        <f>Y119</f>
        <v>Wine</v>
      </c>
      <c r="Y128" s="33"/>
      <c r="Z128" s="33"/>
      <c r="AB128" s="3" t="s">
        <v>104</v>
      </c>
      <c r="AC128" s="15" t="str">
        <f>AE119</f>
        <v>Textiles</v>
      </c>
      <c r="AK128" s="13"/>
      <c r="AL128" s="18"/>
      <c r="AM128" s="1"/>
    </row>
    <row r="129" spans="2:39" ht="13.5" thickBot="1">
      <c r="B129" s="3" t="s">
        <v>140</v>
      </c>
      <c r="D129" s="3" t="s">
        <v>141</v>
      </c>
      <c r="E129" s="2" t="str">
        <f>$E$98</f>
        <v>China</v>
      </c>
      <c r="F129" s="2" t="str">
        <f>$J$98</f>
        <v>India</v>
      </c>
      <c r="G129" s="3" t="s">
        <v>140</v>
      </c>
      <c r="I129" s="3" t="s">
        <v>141</v>
      </c>
      <c r="J129" s="2" t="str">
        <f>$E$98</f>
        <v>China</v>
      </c>
      <c r="K129" s="2" t="str">
        <f>$J$98</f>
        <v>India</v>
      </c>
      <c r="T129" s="3" t="s">
        <v>140</v>
      </c>
      <c r="V129" s="3" t="s">
        <v>141</v>
      </c>
      <c r="W129" s="2" t="str">
        <f>W98</f>
        <v>Portugal</v>
      </c>
      <c r="X129" s="2" t="str">
        <f>AC98</f>
        <v>England</v>
      </c>
      <c r="Z129" s="3" t="s">
        <v>140</v>
      </c>
      <c r="AB129" s="3" t="s">
        <v>141</v>
      </c>
      <c r="AC129" s="2" t="str">
        <f>W98</f>
        <v>Portugal</v>
      </c>
      <c r="AD129" s="2" t="str">
        <f>AC98</f>
        <v>England</v>
      </c>
      <c r="AK129" s="13"/>
      <c r="AL129" s="18"/>
      <c r="AM129" s="1"/>
    </row>
    <row r="130" spans="2:39" ht="13.5" thickBot="1">
      <c r="B130" s="3"/>
      <c r="D130" s="3" t="s">
        <v>136</v>
      </c>
      <c r="E130" s="43">
        <f>(F123-D100)/E100</f>
        <v>2.0270270270270245</v>
      </c>
      <c r="F130" s="43">
        <f>(F123-I100)/J100</f>
        <v>74.05405405405405</v>
      </c>
      <c r="G130" s="3"/>
      <c r="I130" s="3" t="s">
        <v>136</v>
      </c>
      <c r="J130" s="43">
        <f>(J123-D104)/E104</f>
        <v>60.37610619469026</v>
      </c>
      <c r="K130" s="43">
        <f>(J123-I104)/J104</f>
        <v>3.938053097345131</v>
      </c>
      <c r="T130" s="3"/>
      <c r="V130" s="3" t="s">
        <v>136</v>
      </c>
      <c r="W130" s="43">
        <f>(X124-V100)/W100</f>
        <v>5.868421052631579</v>
      </c>
      <c r="X130" s="43">
        <f>(X124-AB100)/AC100</f>
        <v>54.23684210526316</v>
      </c>
      <c r="Z130" s="3"/>
      <c r="AB130" s="3" t="s">
        <v>136</v>
      </c>
      <c r="AC130" s="43">
        <f>(AD124-V104)/W104</f>
        <v>38.18181818181818</v>
      </c>
      <c r="AD130" s="43">
        <f>(AD124-AB104)/AC104</f>
        <v>4.909090909090909</v>
      </c>
      <c r="AK130" s="13"/>
      <c r="AL130" s="18"/>
      <c r="AM130" s="1"/>
    </row>
    <row r="131" spans="2:39" ht="13.5" thickBot="1">
      <c r="B131" s="3"/>
      <c r="D131" s="3" t="s">
        <v>91</v>
      </c>
      <c r="E131" s="43">
        <f>(F123-D101)/E101</f>
        <v>23.716216216216218</v>
      </c>
      <c r="F131" s="43">
        <f>(F123-I101)/J101</f>
        <v>52.36486486486488</v>
      </c>
      <c r="G131" s="3"/>
      <c r="I131" s="3" t="s">
        <v>91</v>
      </c>
      <c r="J131" s="43">
        <f>(J123-D105)/E105</f>
        <v>35.39823008849558</v>
      </c>
      <c r="K131" s="43">
        <f>(J123-I105)/J105</f>
        <v>28.91592920353982</v>
      </c>
      <c r="T131" s="3"/>
      <c r="V131" s="3" t="s">
        <v>91</v>
      </c>
      <c r="W131" s="43">
        <f>(X124-V101)/W101</f>
        <v>31.842105263157894</v>
      </c>
      <c r="X131" s="43">
        <f>(X124-AB101)/AC101</f>
        <v>28.263157894736842</v>
      </c>
      <c r="Z131" s="3"/>
      <c r="AB131" s="3" t="s">
        <v>91</v>
      </c>
      <c r="AC131" s="43">
        <f>(AD124-V105)/W105</f>
        <v>21.727272727272727</v>
      </c>
      <c r="AD131" s="43">
        <f>(AD124-AB105)/AC105</f>
        <v>21.363636363636363</v>
      </c>
      <c r="AK131" s="13"/>
      <c r="AL131" s="18"/>
      <c r="AM131" s="1"/>
    </row>
    <row r="132" spans="2:39" ht="13.5" thickBot="1">
      <c r="B132" s="3"/>
      <c r="D132" s="3" t="s">
        <v>92</v>
      </c>
      <c r="E132" s="43">
        <f>E131-E130</f>
        <v>21.689189189189193</v>
      </c>
      <c r="F132" s="43">
        <f>F131-F130</f>
        <v>-21.68918918918917</v>
      </c>
      <c r="G132" s="3"/>
      <c r="I132" s="3" t="s">
        <v>92</v>
      </c>
      <c r="J132" s="43">
        <f>J131-J130</f>
        <v>-24.977876106194678</v>
      </c>
      <c r="K132" s="43">
        <f>K131-K130</f>
        <v>24.977876106194692</v>
      </c>
      <c r="T132" s="3"/>
      <c r="V132" s="3" t="s">
        <v>92</v>
      </c>
      <c r="W132" s="43">
        <f>W131-W130</f>
        <v>25.973684210526315</v>
      </c>
      <c r="X132" s="43">
        <f>X131-X130</f>
        <v>-25.973684210526315</v>
      </c>
      <c r="Z132" s="3"/>
      <c r="AB132" s="3" t="s">
        <v>92</v>
      </c>
      <c r="AC132" s="43">
        <f>AC131-AC130</f>
        <v>-16.454545454545453</v>
      </c>
      <c r="AD132" s="43">
        <f>AD131-AD130</f>
        <v>16.454545454545453</v>
      </c>
      <c r="AK132" s="13"/>
      <c r="AL132" s="18"/>
      <c r="AM132" s="1"/>
    </row>
    <row r="133" spans="2:39" ht="13.5" thickBot="1">
      <c r="B133" s="3"/>
      <c r="D133" s="3" t="s">
        <v>116</v>
      </c>
      <c r="E133" s="28" t="str">
        <f>IF(E132&gt;0,"net exporter","net importer")</f>
        <v>net exporter</v>
      </c>
      <c r="F133" s="28" t="str">
        <f>IF(F132&gt;0,"net exporter","net importer")</f>
        <v>net importer</v>
      </c>
      <c r="G133" s="3"/>
      <c r="I133" s="3" t="s">
        <v>116</v>
      </c>
      <c r="J133" s="28" t="str">
        <f>IF(J132&gt;0,"net exporter","net importer")</f>
        <v>net importer</v>
      </c>
      <c r="K133" s="28" t="str">
        <f>IF(K132&gt;0,"net exporter","net importer")</f>
        <v>net exporter</v>
      </c>
      <c r="T133" s="3"/>
      <c r="V133" s="3" t="s">
        <v>116</v>
      </c>
      <c r="W133" s="28" t="str">
        <f>IF(W132&gt;0,"net exporter","net importer")</f>
        <v>net exporter</v>
      </c>
      <c r="X133" s="28" t="str">
        <f>IF(X132&gt;0,"net exporter","net importer")</f>
        <v>net importer</v>
      </c>
      <c r="Z133" s="3"/>
      <c r="AB133" s="3" t="s">
        <v>116</v>
      </c>
      <c r="AC133" s="28" t="str">
        <f>IF(AC132&gt;0,"net exporter","net importer")</f>
        <v>net importer</v>
      </c>
      <c r="AD133" s="28" t="str">
        <f>IF(AD132&gt;0,"net exporter","net importer")</f>
        <v>net exporter</v>
      </c>
      <c r="AK133" s="13"/>
      <c r="AL133" s="18"/>
      <c r="AM133" s="1"/>
    </row>
    <row r="134" spans="2:39" ht="12.75">
      <c r="B134" s="3" t="s">
        <v>144</v>
      </c>
      <c r="C134" s="44" t="s">
        <v>115</v>
      </c>
      <c r="G134" s="3" t="s">
        <v>144</v>
      </c>
      <c r="H134" s="44" t="s">
        <v>115</v>
      </c>
      <c r="T134" s="3" t="s">
        <v>144</v>
      </c>
      <c r="U134" s="44" t="s">
        <v>108</v>
      </c>
      <c r="Z134" s="3" t="s">
        <v>144</v>
      </c>
      <c r="AA134" s="44" t="s">
        <v>108</v>
      </c>
      <c r="AK134" s="13"/>
      <c r="AL134" s="18"/>
      <c r="AM134" s="1"/>
    </row>
    <row r="135" spans="2:39" ht="13.5" thickBot="1">
      <c r="B135" s="3"/>
      <c r="E135" s="2" t="s">
        <v>142</v>
      </c>
      <c r="F135" s="2" t="s">
        <v>143</v>
      </c>
      <c r="G135" s="3"/>
      <c r="H135" s="1" t="s">
        <v>82</v>
      </c>
      <c r="J135" s="2" t="s">
        <v>142</v>
      </c>
      <c r="K135" s="2" t="s">
        <v>143</v>
      </c>
      <c r="T135" s="3"/>
      <c r="U135" s="1" t="s">
        <v>82</v>
      </c>
      <c r="W135" s="2" t="s">
        <v>142</v>
      </c>
      <c r="X135" s="2" t="s">
        <v>143</v>
      </c>
      <c r="Z135" s="3"/>
      <c r="AA135" s="1" t="s">
        <v>82</v>
      </c>
      <c r="AC135" s="2" t="s">
        <v>142</v>
      </c>
      <c r="AD135" s="2" t="s">
        <v>143</v>
      </c>
      <c r="AK135" s="13"/>
      <c r="AL135" s="18"/>
      <c r="AM135" s="1"/>
    </row>
    <row r="136" spans="2:39" ht="13.5" thickBot="1">
      <c r="B136" s="3"/>
      <c r="D136" s="3" t="str">
        <f>$E$98</f>
        <v>China</v>
      </c>
      <c r="E136" s="9">
        <f>IF(E132&gt;0,,E132*F123)</f>
        <v>0</v>
      </c>
      <c r="F136" s="35">
        <f>IF(E132&gt;0,E132*F123,)</f>
        <v>3986.121256391528</v>
      </c>
      <c r="G136" s="3"/>
      <c r="I136" s="3" t="str">
        <f>$E$98</f>
        <v>China</v>
      </c>
      <c r="J136" s="35">
        <f>IF(J132&gt;0,,J132*J123)</f>
        <v>-4166.22131725272</v>
      </c>
      <c r="K136" s="35">
        <f>IF(J132&gt;0,J132*J123,)</f>
        <v>0</v>
      </c>
      <c r="T136" s="3"/>
      <c r="V136" s="3" t="str">
        <f>W98</f>
        <v>Portugal</v>
      </c>
      <c r="W136" s="9">
        <f>IF(W132&gt;0,,W132*X124)</f>
        <v>0</v>
      </c>
      <c r="X136" s="35">
        <f>IF(W132&gt;0,W132*X124,)</f>
        <v>6053.235457063712</v>
      </c>
      <c r="Z136" s="3"/>
      <c r="AB136" s="3" t="str">
        <f>AC129</f>
        <v>Portugal</v>
      </c>
      <c r="AC136" s="9">
        <f>IF(AC132&gt;0,,AC132*AD124)</f>
        <v>-3470.4132231404956</v>
      </c>
      <c r="AD136" s="35">
        <f>IF(AC132&gt;0,AC132*AD124,)</f>
        <v>0</v>
      </c>
      <c r="AK136" s="13"/>
      <c r="AL136" s="18"/>
      <c r="AM136" s="1"/>
    </row>
    <row r="137" spans="2:30" ht="13.5" thickBot="1">
      <c r="B137" s="3"/>
      <c r="D137" s="3" t="str">
        <f>$J$98</f>
        <v>India</v>
      </c>
      <c r="E137" s="35">
        <f>IF(F132&gt;0,,-F132*F123)</f>
        <v>3986.1212563915237</v>
      </c>
      <c r="F137" s="9">
        <f>IF(F132&gt;0,F132*F123,0)</f>
        <v>0</v>
      </c>
      <c r="G137" s="3"/>
      <c r="I137" s="3" t="str">
        <f>$J$98</f>
        <v>India</v>
      </c>
      <c r="J137" s="35">
        <f>IF(K132&gt;0,,-K132*J123)</f>
        <v>0</v>
      </c>
      <c r="K137" s="35">
        <f>IF(K132&gt;0,K132*J123,0)</f>
        <v>4166.221317252722</v>
      </c>
      <c r="T137" s="3"/>
      <c r="V137" s="3" t="str">
        <f>AC98</f>
        <v>England</v>
      </c>
      <c r="W137" s="35">
        <f>IF(X132&gt;0,,-X132*X124)</f>
        <v>6053.235457063712</v>
      </c>
      <c r="X137" s="9">
        <f>IF(X132&gt;0,X132*X124,0)</f>
        <v>0</v>
      </c>
      <c r="Z137" s="3"/>
      <c r="AB137" s="3" t="str">
        <f>AD129</f>
        <v>England</v>
      </c>
      <c r="AC137" s="35">
        <f>IF(AD132&gt;0,,-AD132*AD124)</f>
        <v>0</v>
      </c>
      <c r="AD137" s="9">
        <f>IF(AD132&gt;0,AD132*AD124,0)</f>
        <v>3470.4132231404956</v>
      </c>
    </row>
    <row r="138" spans="2:27" ht="12.75">
      <c r="B138" s="3" t="s">
        <v>145</v>
      </c>
      <c r="E138" s="3" t="s">
        <v>87</v>
      </c>
      <c r="F138" s="16" t="str">
        <f>$E$128</f>
        <v>Gold</v>
      </c>
      <c r="G138" s="3" t="s">
        <v>145</v>
      </c>
      <c r="I138" s="3" t="s">
        <v>0</v>
      </c>
      <c r="J138" s="68" t="str">
        <f>$I$128</f>
        <v>Textiles</v>
      </c>
      <c r="T138" s="3" t="s">
        <v>145</v>
      </c>
      <c r="U138" s="15" t="s">
        <v>35</v>
      </c>
      <c r="Z138" s="3" t="s">
        <v>145</v>
      </c>
      <c r="AA138" s="15" t="s">
        <v>35</v>
      </c>
    </row>
    <row r="139" spans="5:30" ht="13.5" thickBot="1">
      <c r="E139" s="2" t="s">
        <v>142</v>
      </c>
      <c r="F139" s="2" t="s">
        <v>143</v>
      </c>
      <c r="J139" s="2" t="s">
        <v>142</v>
      </c>
      <c r="K139" s="2" t="s">
        <v>143</v>
      </c>
      <c r="W139" s="2" t="s">
        <v>142</v>
      </c>
      <c r="X139" s="2" t="s">
        <v>143</v>
      </c>
      <c r="AC139" s="2" t="s">
        <v>142</v>
      </c>
      <c r="AD139" s="2" t="s">
        <v>143</v>
      </c>
    </row>
    <row r="140" spans="4:30" ht="13.5" thickBot="1">
      <c r="D140" s="3" t="str">
        <f>$E$98</f>
        <v>China</v>
      </c>
      <c r="E140" s="9">
        <f>IF(E136&gt;F136,0,E136/(F123*E130))</f>
        <v>0</v>
      </c>
      <c r="F140" s="45">
        <f>IF(F136&gt;E136,F136/(J131*J123),0)</f>
        <v>0.675121794392819</v>
      </c>
      <c r="I140" s="3" t="str">
        <f>$E$98</f>
        <v>China</v>
      </c>
      <c r="J140" s="45">
        <f>IF(J136&gt;K136,0,J132/J130)</f>
        <v>-0.4137046537193109</v>
      </c>
      <c r="K140" s="45">
        <f>IF(K136&gt;0,K136/(J131*J123),0)</f>
        <v>0</v>
      </c>
      <c r="V140" s="3" t="str">
        <f>W98</f>
        <v>Portugal</v>
      </c>
      <c r="W140" s="9">
        <f>IF(W136&gt;X136,0,W136/(X124*W130))</f>
        <v>0</v>
      </c>
      <c r="X140" s="45">
        <f>IF(X136&gt;W136,X136/(W131*X124),0)</f>
        <v>0.815702479338843</v>
      </c>
      <c r="AB140" s="3" t="str">
        <f>AC129</f>
        <v>Portugal</v>
      </c>
      <c r="AC140" s="9">
        <f>IF(AC136&gt;AD136,0,AC136/(AD124*AC130))</f>
        <v>-0.4309523809523809</v>
      </c>
      <c r="AD140" s="45">
        <f>IF(AD136&gt;AC136,AD136/(AC131*AD124),0)</f>
        <v>0</v>
      </c>
    </row>
    <row r="141" spans="4:30" ht="13.5" thickBot="1">
      <c r="D141" s="3" t="str">
        <f>$J$98</f>
        <v>India</v>
      </c>
      <c r="E141" s="45">
        <f>IF(F137&gt;$E137,0,F136/(F130*F123))</f>
        <v>0.2928832116788322</v>
      </c>
      <c r="F141" s="9"/>
      <c r="I141" s="3" t="str">
        <f>$J$98</f>
        <v>India</v>
      </c>
      <c r="J141" s="45">
        <f>IF(J137&gt;0,J137/(K130*J123),0)</f>
        <v>0</v>
      </c>
      <c r="K141" s="9">
        <f>IF(K137&gt;0,K136/(K131*J123),0)</f>
        <v>0</v>
      </c>
      <c r="V141" s="3" t="str">
        <f>AC98</f>
        <v>England</v>
      </c>
      <c r="W141" s="45">
        <f>IF(X137&gt;W137,0,X136/(X130*X124))</f>
        <v>0.4788937409024745</v>
      </c>
      <c r="X141" s="9">
        <f>IF(X137=0,0,ABS(X132/MAX(X130,X131)))</f>
        <v>0</v>
      </c>
      <c r="AB141" s="3" t="str">
        <f>AD129</f>
        <v>England</v>
      </c>
      <c r="AC141" s="45">
        <f>IF(AD137&gt;AC137,0,AD136/(AD130*AD124))</f>
        <v>0</v>
      </c>
      <c r="AD141" s="9">
        <f>IF(AD137=0,0,ABS(AD132/MAX(AD130,AD131)))</f>
        <v>0.7702127659574468</v>
      </c>
    </row>
    <row r="142" spans="2:27" ht="12.75">
      <c r="B142" s="3" t="s">
        <v>93</v>
      </c>
      <c r="C142" s="15" t="s">
        <v>83</v>
      </c>
      <c r="D142" s="3"/>
      <c r="E142" s="50"/>
      <c r="F142" s="4"/>
      <c r="G142" s="3" t="s">
        <v>93</v>
      </c>
      <c r="H142" s="15" t="s">
        <v>83</v>
      </c>
      <c r="T142" s="3" t="s">
        <v>93</v>
      </c>
      <c r="U142" s="15" t="s">
        <v>83</v>
      </c>
      <c r="V142" s="3"/>
      <c r="W142" s="50"/>
      <c r="X142" s="4"/>
      <c r="Z142" s="3" t="s">
        <v>93</v>
      </c>
      <c r="AA142" s="15" t="s">
        <v>83</v>
      </c>
    </row>
    <row r="143" spans="2:30" ht="13.5" thickBot="1">
      <c r="B143" s="3"/>
      <c r="D143" s="51" t="str">
        <f>E98</f>
        <v>China</v>
      </c>
      <c r="E143" s="70" t="str">
        <f>E128</f>
        <v>Gold</v>
      </c>
      <c r="F143" s="71" t="str">
        <f>I128</f>
        <v>Textiles</v>
      </c>
      <c r="I143" s="69" t="str">
        <f>J109</f>
        <v>India</v>
      </c>
      <c r="J143" s="16" t="str">
        <f>F107</f>
        <v>Gold</v>
      </c>
      <c r="K143" s="16" t="str">
        <f>J107</f>
        <v>Textiles</v>
      </c>
      <c r="T143" s="3"/>
      <c r="U143" s="15"/>
      <c r="V143" s="51" t="str">
        <f>W98</f>
        <v>Portugal</v>
      </c>
      <c r="W143" s="70" t="str">
        <f>W128</f>
        <v>Wine</v>
      </c>
      <c r="X143" s="71" t="str">
        <f>AE119</f>
        <v>Textiles</v>
      </c>
      <c r="AB143" s="69" t="str">
        <f>AB137</f>
        <v>England</v>
      </c>
      <c r="AC143" s="16" t="str">
        <f>Y119</f>
        <v>Wine</v>
      </c>
      <c r="AD143" s="16" t="str">
        <f>AE119</f>
        <v>Textiles</v>
      </c>
    </row>
    <row r="144" spans="2:30" ht="13.5" thickBot="1">
      <c r="B144" s="3"/>
      <c r="D144" s="51" t="s">
        <v>94</v>
      </c>
      <c r="E144" s="49">
        <f>E116</f>
        <v>980</v>
      </c>
      <c r="F144" s="49">
        <f>I116</f>
        <v>6701.538461538461</v>
      </c>
      <c r="I144" s="51" t="s">
        <v>94</v>
      </c>
      <c r="J144" s="35">
        <f>F116</f>
        <v>12892.857142857143</v>
      </c>
      <c r="K144" s="35">
        <f>J116</f>
        <v>1200.7142857142858</v>
      </c>
      <c r="T144" s="3"/>
      <c r="U144" s="15"/>
      <c r="V144" s="51" t="s">
        <v>94</v>
      </c>
      <c r="W144" s="49">
        <f>W116</f>
        <v>2023</v>
      </c>
      <c r="X144" s="49">
        <f>AC116</f>
        <v>4992.8</v>
      </c>
      <c r="AB144" s="51" t="s">
        <v>94</v>
      </c>
      <c r="AC144" s="35">
        <f>X116</f>
        <v>6806.25</v>
      </c>
      <c r="AD144" s="35">
        <f>AD116</f>
        <v>1344.4444444444443</v>
      </c>
    </row>
    <row r="145" spans="2:30" ht="13.5" thickBot="1">
      <c r="B145" s="3"/>
      <c r="C145" s="15"/>
      <c r="D145" s="3" t="s">
        <v>124</v>
      </c>
      <c r="E145" s="35">
        <f>ABS(E132*(F123-E111)*0.5)</f>
        <v>836.3038714390069</v>
      </c>
      <c r="F145" s="35">
        <f>ABS(J132*(J123-I111)*0.5)</f>
        <v>383.9349506316377</v>
      </c>
      <c r="I145" s="3" t="s">
        <v>124</v>
      </c>
      <c r="J145" s="35">
        <f>ABS(F132*(F123-F111)*0.5)</f>
        <v>268.81195867682294</v>
      </c>
      <c r="K145" s="22">
        <f>K132*(J123-J111)*0.5</f>
        <v>855.6264614076504</v>
      </c>
      <c r="T145" s="3"/>
      <c r="U145" s="15"/>
      <c r="V145" s="3" t="s">
        <v>124</v>
      </c>
      <c r="W145" s="35">
        <f>(ABS(X124-W111)*ABS(W132)*0.5)</f>
        <v>1156.5124653739613</v>
      </c>
      <c r="X145" s="35">
        <f>(ABS(AD124-AC111)*ABS(AC132)*0.5)</f>
        <v>324.9024793388428</v>
      </c>
      <c r="AB145" s="3" t="s">
        <v>124</v>
      </c>
      <c r="AC145" s="35">
        <f>ABS(X124-X111)*ABS(X132)*0.5</f>
        <v>674.632271468144</v>
      </c>
      <c r="AD145" s="22">
        <f>(ABS(AD124-AD111)*ABS(AD132)*0.5)</f>
        <v>601.6712580348944</v>
      </c>
    </row>
    <row r="146" spans="2:30" ht="13.5" thickBot="1">
      <c r="B146" s="3"/>
      <c r="C146" s="15"/>
      <c r="D146" s="3" t="s">
        <v>95</v>
      </c>
      <c r="E146" s="35">
        <f>SUM(E144:E145)</f>
        <v>1816.3038714390068</v>
      </c>
      <c r="F146" s="35">
        <f>SUM(F144:F145)</f>
        <v>7085.4734121700985</v>
      </c>
      <c r="I146" s="3" t="s">
        <v>95</v>
      </c>
      <c r="J146" s="35">
        <f>SUM(J144:J145)</f>
        <v>13161.669101533966</v>
      </c>
      <c r="K146" s="35">
        <f>SUM(K144:K145)</f>
        <v>2056.340747121936</v>
      </c>
      <c r="T146" s="3"/>
      <c r="U146" s="15"/>
      <c r="V146" s="3" t="s">
        <v>95</v>
      </c>
      <c r="W146" s="35">
        <f>SUM(W144:W145)</f>
        <v>3179.5124653739613</v>
      </c>
      <c r="X146" s="35">
        <f>SUM(X144:X145)</f>
        <v>5317.702479338843</v>
      </c>
      <c r="AB146" s="3" t="s">
        <v>95</v>
      </c>
      <c r="AC146" s="35">
        <f>SUM(AC144:AC145)</f>
        <v>7480.882271468144</v>
      </c>
      <c r="AD146" s="35">
        <f>SUM(AD144:AD145)</f>
        <v>1946.1157024793388</v>
      </c>
    </row>
    <row r="147" spans="2:30" ht="13.5" thickBot="1">
      <c r="B147" s="3"/>
      <c r="C147" s="15"/>
      <c r="D147" s="67" t="s">
        <v>125</v>
      </c>
      <c r="E147" s="45">
        <f>E145/E144</f>
        <v>0.8533712973867418</v>
      </c>
      <c r="F147" s="45">
        <f>F145/F144</f>
        <v>0.05729056884999186</v>
      </c>
      <c r="I147" s="67" t="s">
        <v>125</v>
      </c>
      <c r="J147" s="45">
        <f>J145/J144</f>
        <v>0.02084968100540455</v>
      </c>
      <c r="K147" s="45">
        <f>K145/K144</f>
        <v>0.7125978857648486</v>
      </c>
      <c r="T147" s="3"/>
      <c r="U147" s="15"/>
      <c r="V147" s="67" t="s">
        <v>125</v>
      </c>
      <c r="W147" s="45">
        <f>(W146/W144)-1</f>
        <v>0.5716818909411574</v>
      </c>
      <c r="X147" s="45">
        <f>(X146/X144)-1</f>
        <v>0.06507420271968489</v>
      </c>
      <c r="AB147" s="67" t="s">
        <v>125</v>
      </c>
      <c r="AC147" s="45">
        <f>(AC146/AC144)-1</f>
        <v>0.09911952565188531</v>
      </c>
      <c r="AD147" s="45">
        <f>(AD146/AD144)-1</f>
        <v>0.44752407622430157</v>
      </c>
    </row>
    <row r="148" spans="2:30" ht="13.5" thickBot="1">
      <c r="B148" s="3" t="s">
        <v>126</v>
      </c>
      <c r="C148" s="15" t="s">
        <v>127</v>
      </c>
      <c r="D148" s="67"/>
      <c r="E148" s="50"/>
      <c r="F148" s="50"/>
      <c r="H148" s="79">
        <f>J132/F132</f>
        <v>1.1516279326220609</v>
      </c>
      <c r="I148" s="80" t="s">
        <v>118</v>
      </c>
      <c r="J148" s="72"/>
      <c r="K148" s="50"/>
      <c r="T148" s="3" t="s">
        <v>126</v>
      </c>
      <c r="U148" s="15" t="s">
        <v>127</v>
      </c>
      <c r="V148" s="67"/>
      <c r="W148" s="50"/>
      <c r="X148" s="50"/>
      <c r="AA148" s="79">
        <f>AC132/X132</f>
        <v>0.6335083356359952</v>
      </c>
      <c r="AB148" s="80" t="s">
        <v>84</v>
      </c>
      <c r="AC148" s="87"/>
      <c r="AD148" s="50"/>
    </row>
    <row r="149" spans="2:30" ht="13.5" thickBot="1">
      <c r="B149" s="33">
        <v>4</v>
      </c>
      <c r="C149" s="1" t="s">
        <v>128</v>
      </c>
      <c r="J149" s="53">
        <f>$AM$16</f>
        <v>0.08000000000000002</v>
      </c>
      <c r="K149" s="1" t="s">
        <v>129</v>
      </c>
      <c r="T149" s="33">
        <v>4</v>
      </c>
      <c r="U149" s="1" t="s">
        <v>128</v>
      </c>
      <c r="AC149" s="53">
        <f>AN16</f>
        <v>0.05</v>
      </c>
      <c r="AD149" s="1" t="s">
        <v>85</v>
      </c>
    </row>
    <row r="150" spans="2:29" ht="13.5" thickBot="1">
      <c r="B150" s="33"/>
      <c r="C150" s="1" t="s">
        <v>130</v>
      </c>
      <c r="H150" s="54">
        <f>F123*(1+J149)</f>
        <v>198.4864864864865</v>
      </c>
      <c r="I150" s="37" t="s">
        <v>131</v>
      </c>
      <c r="J150" s="70" t="str">
        <f>F138</f>
        <v>Gold</v>
      </c>
      <c r="K150" s="1" t="s">
        <v>132</v>
      </c>
      <c r="T150" s="33"/>
      <c r="U150" s="1" t="s">
        <v>130</v>
      </c>
      <c r="Z150" s="54">
        <f>X124*(1+AC149)</f>
        <v>244.70526315789476</v>
      </c>
      <c r="AA150" s="37" t="s">
        <v>131</v>
      </c>
      <c r="AB150" s="70" t="str">
        <f>W143</f>
        <v>Wine</v>
      </c>
      <c r="AC150" s="1" t="s">
        <v>132</v>
      </c>
    </row>
    <row r="151" spans="2:28" ht="13.5" thickBot="1">
      <c r="B151" s="33"/>
      <c r="H151" s="54">
        <f>(J123*(1+J149))</f>
        <v>180.14017699115047</v>
      </c>
      <c r="I151" s="37" t="s">
        <v>54</v>
      </c>
      <c r="J151" s="70" t="str">
        <f>J138</f>
        <v>Textiles</v>
      </c>
      <c r="T151" s="33"/>
      <c r="Z151" s="54">
        <f>(AD124*(1+AC149))</f>
        <v>221.45454545454547</v>
      </c>
      <c r="AA151" s="37" t="s">
        <v>54</v>
      </c>
      <c r="AB151" s="70" t="str">
        <f>X143</f>
        <v>Textiles</v>
      </c>
    </row>
    <row r="152" spans="3:21" ht="13.5" thickBot="1">
      <c r="C152" s="1" t="s">
        <v>122</v>
      </c>
      <c r="U152" s="1" t="s">
        <v>122</v>
      </c>
    </row>
    <row r="153" spans="4:29" ht="13.5" thickBot="1">
      <c r="D153" s="75" t="str">
        <f>$AM$7</f>
        <v>Gold</v>
      </c>
      <c r="E153" s="61"/>
      <c r="F153" s="61"/>
      <c r="G153" s="61"/>
      <c r="H153" s="84" t="str">
        <f>$E$98</f>
        <v>China</v>
      </c>
      <c r="I153" s="84" t="str">
        <f>$J$98</f>
        <v>India</v>
      </c>
      <c r="V153" s="75" t="str">
        <f>W143</f>
        <v>Wine</v>
      </c>
      <c r="W153" s="61"/>
      <c r="X153" s="61"/>
      <c r="Y153" s="61"/>
      <c r="Z153" s="58" t="str">
        <f>$W$98</f>
        <v>Portugal</v>
      </c>
      <c r="AA153" s="58" t="str">
        <f>$AC$98</f>
        <v>England</v>
      </c>
      <c r="AC153"/>
    </row>
    <row r="154" spans="4:29" ht="13.5" thickBot="1">
      <c r="D154" s="12"/>
      <c r="E154" s="4"/>
      <c r="F154" s="4"/>
      <c r="G154" s="76" t="s">
        <v>48</v>
      </c>
      <c r="H154" s="20">
        <f>IF(E136=0,0,(H150-D100)/E100)</f>
        <v>0</v>
      </c>
      <c r="I154" s="20">
        <f>(H150-I100)/J100</f>
        <v>70.37837837837837</v>
      </c>
      <c r="V154" s="12"/>
      <c r="W154" s="4"/>
      <c r="X154" s="4"/>
      <c r="Y154" s="76" t="s">
        <v>48</v>
      </c>
      <c r="Z154" s="20">
        <f>IF(W136=0,0,(Z150-V100)/W100)</f>
        <v>0</v>
      </c>
      <c r="AA154" s="20">
        <f>(Z150-AB100)/AC100</f>
        <v>51.32368421052631</v>
      </c>
      <c r="AC154"/>
    </row>
    <row r="155" spans="3:29" ht="13.5" thickBot="1">
      <c r="C155" s="41"/>
      <c r="D155" s="12"/>
      <c r="E155" s="4"/>
      <c r="F155" s="4"/>
      <c r="G155" s="76" t="s">
        <v>49</v>
      </c>
      <c r="H155" s="20">
        <f>IF(E136=0,0,(H150-D101)/E101)</f>
        <v>0</v>
      </c>
      <c r="I155" s="46">
        <f>(H150-I101)/J101</f>
        <v>61.55405405405407</v>
      </c>
      <c r="U155" s="41"/>
      <c r="V155" s="12"/>
      <c r="W155" s="4"/>
      <c r="X155" s="4"/>
      <c r="Y155" s="76" t="s">
        <v>49</v>
      </c>
      <c r="Z155" s="20">
        <f>IF(W136=0,0,(Z150-V101)/W101)</f>
        <v>0</v>
      </c>
      <c r="AA155" s="46">
        <f>(Z150-AB101)/AC101</f>
        <v>31.17631578947369</v>
      </c>
      <c r="AC155"/>
    </row>
    <row r="156" spans="4:29" ht="13.5" thickBot="1">
      <c r="D156" s="12"/>
      <c r="E156" s="4"/>
      <c r="F156" s="4"/>
      <c r="G156" s="76" t="s">
        <v>50</v>
      </c>
      <c r="H156" s="20">
        <f>H155-H154</f>
        <v>0</v>
      </c>
      <c r="I156" s="47">
        <f>I155-I154</f>
        <v>-8.824324324324301</v>
      </c>
      <c r="V156" s="12"/>
      <c r="W156" s="4"/>
      <c r="X156" s="4"/>
      <c r="Y156" s="76" t="s">
        <v>50</v>
      </c>
      <c r="Z156" s="20">
        <f>Z155-Z154</f>
        <v>0</v>
      </c>
      <c r="AA156" s="47">
        <f>AA155-AA154</f>
        <v>-20.14736842105262</v>
      </c>
      <c r="AC156"/>
    </row>
    <row r="157" spans="4:30" ht="13.5" thickBot="1">
      <c r="D157" s="12"/>
      <c r="E157" s="4"/>
      <c r="F157" s="4"/>
      <c r="G157" s="76" t="s">
        <v>51</v>
      </c>
      <c r="H157" s="20">
        <f>IF(E136=0,0,H156-E132)</f>
        <v>0</v>
      </c>
      <c r="I157" s="20">
        <f>ABS(I156)-ABS(F132)</f>
        <v>-12.86486486486487</v>
      </c>
      <c r="K157" s="13"/>
      <c r="V157" s="12"/>
      <c r="W157" s="4"/>
      <c r="X157" s="4"/>
      <c r="Y157" s="76" t="s">
        <v>51</v>
      </c>
      <c r="Z157" s="20">
        <f>IF(W136=0,0,Z156-W132)</f>
        <v>0</v>
      </c>
      <c r="AA157" s="20">
        <f>X132-AA156</f>
        <v>-5.826315789473696</v>
      </c>
      <c r="AC157"/>
      <c r="AD157" s="13"/>
    </row>
    <row r="158" spans="4:30" ht="13.5" thickBot="1">
      <c r="D158" s="12"/>
      <c r="E158" s="4"/>
      <c r="F158" s="4"/>
      <c r="G158" s="76" t="s">
        <v>52</v>
      </c>
      <c r="H158" s="48">
        <f>H157/E132</f>
        <v>0</v>
      </c>
      <c r="I158" s="48">
        <f>I157/F132</f>
        <v>0.5931464174454836</v>
      </c>
      <c r="K158" s="13"/>
      <c r="V158" s="12"/>
      <c r="W158" s="4"/>
      <c r="X158" s="4"/>
      <c r="Y158" s="76" t="s">
        <v>52</v>
      </c>
      <c r="Z158" s="48">
        <f>Z157/W132</f>
        <v>0</v>
      </c>
      <c r="AA158" s="48">
        <f>AA157/X132</f>
        <v>0.2243161094224929</v>
      </c>
      <c r="AC158"/>
      <c r="AD158" s="13"/>
    </row>
    <row r="159" spans="4:30" ht="13.5" thickBot="1">
      <c r="D159" s="12"/>
      <c r="E159" s="4"/>
      <c r="F159" s="4"/>
      <c r="G159" s="76" t="s">
        <v>53</v>
      </c>
      <c r="H159" s="49">
        <f>IF(H158&gt;0,H150-F123,0)</f>
        <v>0</v>
      </c>
      <c r="I159" s="49">
        <f>(H150-F123)</f>
        <v>14.702702702702709</v>
      </c>
      <c r="K159" s="13"/>
      <c r="V159" s="12"/>
      <c r="W159" s="4"/>
      <c r="X159" s="4"/>
      <c r="Y159" s="76" t="s">
        <v>53</v>
      </c>
      <c r="Z159" s="49">
        <f>IF(Z158&gt;0,Z150-X123,0)</f>
        <v>0</v>
      </c>
      <c r="AA159" s="49">
        <f>(Z150-X124)</f>
        <v>11.652631578947393</v>
      </c>
      <c r="AC159"/>
      <c r="AD159" s="13"/>
    </row>
    <row r="160" spans="4:30" ht="13.5" thickBot="1">
      <c r="D160" s="12"/>
      <c r="E160" s="4"/>
      <c r="F160" s="4"/>
      <c r="G160" s="76" t="s">
        <v>55</v>
      </c>
      <c r="H160" s="49">
        <f>H159*E140</f>
        <v>0</v>
      </c>
      <c r="I160" s="35">
        <f>ABS(I156)*I159</f>
        <v>129.74141709276816</v>
      </c>
      <c r="K160" s="13"/>
      <c r="V160" s="12"/>
      <c r="W160" s="4"/>
      <c r="X160" s="4"/>
      <c r="Y160" s="76" t="s">
        <v>55</v>
      </c>
      <c r="Z160" s="49">
        <f>Z159*W140</f>
        <v>0</v>
      </c>
      <c r="AA160" s="35">
        <f>ABS(AA159*AA156)</f>
        <v>234.76986149584522</v>
      </c>
      <c r="AC160"/>
      <c r="AD160" s="13"/>
    </row>
    <row r="161" spans="4:30" ht="13.5" thickBot="1">
      <c r="D161" s="12"/>
      <c r="E161" s="4"/>
      <c r="F161" s="4"/>
      <c r="G161" s="76" t="s">
        <v>119</v>
      </c>
      <c r="H161" s="49">
        <f>E116</f>
        <v>980</v>
      </c>
      <c r="I161" s="82">
        <f>F116</f>
        <v>12892.857142857143</v>
      </c>
      <c r="J161" s="1" t="s">
        <v>11</v>
      </c>
      <c r="K161" s="13"/>
      <c r="V161" s="12"/>
      <c r="W161" s="4"/>
      <c r="X161" s="4"/>
      <c r="Y161" s="76" t="s">
        <v>119</v>
      </c>
      <c r="Z161" s="49">
        <f>W116</f>
        <v>2023</v>
      </c>
      <c r="AA161" s="82">
        <f>X116</f>
        <v>6806.25</v>
      </c>
      <c r="AB161" s="1" t="s">
        <v>11</v>
      </c>
      <c r="AC161" s="74"/>
      <c r="AD161" s="13"/>
    </row>
    <row r="162" spans="4:30" ht="13.5" thickBot="1">
      <c r="D162" s="12"/>
      <c r="E162" s="4"/>
      <c r="F162" s="4"/>
      <c r="G162" s="76" t="s">
        <v>120</v>
      </c>
      <c r="H162" s="49">
        <f>H161+(F123-E111)*ABS(E132)*0.5</f>
        <v>1816.3038714390068</v>
      </c>
      <c r="I162" s="35">
        <f>I161+(F123-J123)*ABS(F132)*0.5</f>
        <v>13077.077780619995</v>
      </c>
      <c r="J162" s="81" t="s">
        <v>30</v>
      </c>
      <c r="K162" s="13"/>
      <c r="V162" s="12"/>
      <c r="W162" s="4"/>
      <c r="X162" s="4"/>
      <c r="Y162" s="76" t="s">
        <v>120</v>
      </c>
      <c r="Z162" s="49">
        <f>Z161+W145</f>
        <v>3179.5124653739613</v>
      </c>
      <c r="AA162" s="35">
        <f>AA161+(X123-AB123)*ABS(X132)*0.5</f>
        <v>7586.82756232687</v>
      </c>
      <c r="AB162" s="81" t="s">
        <v>30</v>
      </c>
      <c r="AC162" s="74"/>
      <c r="AD162" s="13"/>
    </row>
    <row r="163" spans="4:30" ht="13.5" thickBot="1">
      <c r="D163" s="12"/>
      <c r="E163" s="4"/>
      <c r="F163" s="4"/>
      <c r="G163" s="76" t="s">
        <v>121</v>
      </c>
      <c r="H163" s="49">
        <f>H162-ABS(I157)*(H150-F123)*0.5</f>
        <v>1721.7297297297298</v>
      </c>
      <c r="I163" s="35">
        <f>I162-(ABS(I157)*(H150-F123)*0.5)</f>
        <v>12982.503638910717</v>
      </c>
      <c r="J163" s="1" t="s">
        <v>31</v>
      </c>
      <c r="K163" s="13"/>
      <c r="V163" s="12"/>
      <c r="W163" s="4"/>
      <c r="X163" s="4"/>
      <c r="Y163" s="76" t="s">
        <v>121</v>
      </c>
      <c r="Z163" s="49">
        <f>Z162-ABS(AA156)*(ABS(Z150-X124)*0.5)</f>
        <v>3062.1275346260386</v>
      </c>
      <c r="AA163" s="35">
        <f>AA162-ABS(AA156)*ABS(Z150-X124)*0.5</f>
        <v>7469.442631578948</v>
      </c>
      <c r="AB163" s="1" t="s">
        <v>31</v>
      </c>
      <c r="AC163" s="74"/>
      <c r="AD163" s="13"/>
    </row>
    <row r="164" spans="4:30" ht="13.5" thickBot="1">
      <c r="D164" s="12"/>
      <c r="E164" s="4"/>
      <c r="F164" s="4"/>
      <c r="G164" s="76" t="s">
        <v>123</v>
      </c>
      <c r="H164" s="48">
        <f>(H162/H161)-1</f>
        <v>0.8533712973867416</v>
      </c>
      <c r="I164" s="48">
        <f>(I162/I161)-1</f>
        <v>0.014288581322326355</v>
      </c>
      <c r="K164" s="13"/>
      <c r="V164" s="12"/>
      <c r="W164" s="4"/>
      <c r="X164" s="4"/>
      <c r="Y164" s="76" t="s">
        <v>123</v>
      </c>
      <c r="Z164" s="48">
        <f>(Z162/Z161)-1</f>
        <v>0.5716818909411574</v>
      </c>
      <c r="AA164" s="48">
        <f>(AA162/AA161)-1</f>
        <v>0.11468540860633536</v>
      </c>
      <c r="AC164" s="74"/>
      <c r="AD164" s="13"/>
    </row>
    <row r="165" spans="4:30" ht="13.5" thickBot="1">
      <c r="D165" s="12"/>
      <c r="E165" s="4"/>
      <c r="F165" s="4"/>
      <c r="G165" s="63" t="s">
        <v>9</v>
      </c>
      <c r="H165" s="48">
        <f>(H163/H162)-1</f>
        <v>-0.05206955906246491</v>
      </c>
      <c r="I165" s="48">
        <f>(I163/I162)-1</f>
        <v>-0.007232054691104994</v>
      </c>
      <c r="K165" s="13"/>
      <c r="V165" s="12"/>
      <c r="W165" s="4"/>
      <c r="X165" s="4"/>
      <c r="Y165" s="63" t="s">
        <v>9</v>
      </c>
      <c r="Z165" s="48">
        <f>(Z163/Z162)-1</f>
        <v>-0.036919160414147445</v>
      </c>
      <c r="AA165" s="48">
        <f>(AA163/AA162)-1</f>
        <v>-0.015472202285288339</v>
      </c>
      <c r="AC165" s="74"/>
      <c r="AD165" s="13"/>
    </row>
    <row r="166" spans="4:30" ht="13.5" thickBot="1">
      <c r="D166" s="64"/>
      <c r="E166" s="10"/>
      <c r="F166" s="10"/>
      <c r="G166" s="77" t="s">
        <v>10</v>
      </c>
      <c r="H166" s="48">
        <f>SUM(H164:H165)</f>
        <v>0.8013017383242766</v>
      </c>
      <c r="I166" s="48">
        <f>SUM(I164:I165)</f>
        <v>0.00705652663122136</v>
      </c>
      <c r="K166" s="13"/>
      <c r="V166" s="64"/>
      <c r="W166" s="10"/>
      <c r="X166" s="10"/>
      <c r="Y166" s="77" t="s">
        <v>10</v>
      </c>
      <c r="Z166" s="48">
        <f>SUM(Z164:Z165)</f>
        <v>0.53476273052701</v>
      </c>
      <c r="AA166" s="48">
        <f>SUM(AA164:AA165)</f>
        <v>0.09921320632104702</v>
      </c>
      <c r="AC166" s="74"/>
      <c r="AD166" s="13"/>
    </row>
    <row r="167" spans="4:30" ht="13.5" thickBot="1">
      <c r="D167" s="75" t="str">
        <f>$AM$35</f>
        <v>Textiles</v>
      </c>
      <c r="E167" s="61"/>
      <c r="F167" s="61"/>
      <c r="G167" s="78"/>
      <c r="H167" s="58" t="str">
        <f>$E$98</f>
        <v>China</v>
      </c>
      <c r="I167" s="58" t="str">
        <f>$J$98</f>
        <v>India</v>
      </c>
      <c r="K167" s="13"/>
      <c r="V167" s="75" t="str">
        <f>X143</f>
        <v>Textiles</v>
      </c>
      <c r="W167" s="61"/>
      <c r="X167" s="61"/>
      <c r="Y167" s="78"/>
      <c r="Z167" s="58" t="str">
        <f>$W$98</f>
        <v>Portugal</v>
      </c>
      <c r="AA167" s="58" t="str">
        <f>$AC$98</f>
        <v>England</v>
      </c>
      <c r="AC167" s="74"/>
      <c r="AD167" s="13"/>
    </row>
    <row r="168" spans="4:30" ht="13.5" thickBot="1">
      <c r="D168" s="12"/>
      <c r="E168" s="4"/>
      <c r="F168" s="4"/>
      <c r="G168" s="76" t="s">
        <v>48</v>
      </c>
      <c r="H168" s="83">
        <f>(H151-D104)/E104</f>
        <v>56.20619469026548</v>
      </c>
      <c r="I168" s="46">
        <f>IF(J137=0,0,(H151-I104)/J104)</f>
        <v>0</v>
      </c>
      <c r="K168" s="13"/>
      <c r="V168" s="12"/>
      <c r="W168" s="4"/>
      <c r="X168" s="4"/>
      <c r="Y168" s="76" t="s">
        <v>48</v>
      </c>
      <c r="Z168" s="83">
        <f>(Z151-V104)/W104</f>
        <v>36.42424242424242</v>
      </c>
      <c r="AA168" s="46">
        <f>IF(AC137=0,0,(Z151-AB104)/AC104)</f>
        <v>0</v>
      </c>
      <c r="AC168" s="74"/>
      <c r="AD168" s="13"/>
    </row>
    <row r="169" spans="4:30" ht="13.5" thickBot="1">
      <c r="D169" s="12"/>
      <c r="E169" s="4"/>
      <c r="F169" s="4"/>
      <c r="G169" s="76" t="s">
        <v>49</v>
      </c>
      <c r="H169" s="83">
        <f>(H151-D105)/E105</f>
        <v>42.070088495575234</v>
      </c>
      <c r="I169" s="46">
        <f>IF(J141=0,0,(H151-I105)/J105)</f>
        <v>0</v>
      </c>
      <c r="K169" s="13"/>
      <c r="V169" s="12"/>
      <c r="W169" s="4"/>
      <c r="X169" s="4"/>
      <c r="Y169" s="76" t="s">
        <v>49</v>
      </c>
      <c r="Z169" s="83">
        <f>(Z151-V105)/W105</f>
        <v>24.363636363636367</v>
      </c>
      <c r="AA169" s="46">
        <f>IF(AC137=0,0,(Z150-AB105)/AC105)</f>
        <v>0</v>
      </c>
      <c r="AC169" s="74"/>
      <c r="AD169" s="13"/>
    </row>
    <row r="170" spans="4:30" ht="13.5" thickBot="1">
      <c r="D170" s="12"/>
      <c r="E170" s="4"/>
      <c r="F170" s="4"/>
      <c r="G170" s="76" t="s">
        <v>50</v>
      </c>
      <c r="H170" s="83">
        <f>H169-H168</f>
        <v>-14.136106194690242</v>
      </c>
      <c r="I170" s="46">
        <f>I169-I168</f>
        <v>0</v>
      </c>
      <c r="K170" s="13"/>
      <c r="V170" s="12"/>
      <c r="W170" s="4"/>
      <c r="X170" s="4"/>
      <c r="Y170" s="76" t="s">
        <v>50</v>
      </c>
      <c r="Z170" s="83">
        <f>Z169-Z168</f>
        <v>-12.060606060606055</v>
      </c>
      <c r="AA170" s="83">
        <f>AA169-AA168</f>
        <v>0</v>
      </c>
      <c r="AC170" s="74"/>
      <c r="AD170" s="13"/>
    </row>
    <row r="171" spans="4:30" ht="13.5" thickBot="1">
      <c r="D171" s="12"/>
      <c r="E171" s="4"/>
      <c r="F171" s="4"/>
      <c r="G171" s="76" t="s">
        <v>51</v>
      </c>
      <c r="H171" s="83">
        <f>J132-H170</f>
        <v>-10.841769911504436</v>
      </c>
      <c r="I171" s="46">
        <f>IF(I170=0,0,I170-K132)</f>
        <v>0</v>
      </c>
      <c r="K171" s="13"/>
      <c r="V171" s="12"/>
      <c r="W171" s="4"/>
      <c r="X171" s="4"/>
      <c r="Y171" s="76" t="s">
        <v>51</v>
      </c>
      <c r="Z171" s="83">
        <f>AC132-Z170</f>
        <v>-4.393939393939398</v>
      </c>
      <c r="AA171" s="46">
        <f>IF(AA170=0,0,AA170-AD132)</f>
        <v>0</v>
      </c>
      <c r="AC171" s="74"/>
      <c r="AD171" s="13"/>
    </row>
    <row r="172" spans="4:30" ht="13.5" thickBot="1">
      <c r="D172" s="12"/>
      <c r="E172" s="4"/>
      <c r="F172" s="4"/>
      <c r="G172" s="76" t="s">
        <v>52</v>
      </c>
      <c r="H172" s="48">
        <f>ABS(H171/J132)</f>
        <v>0.4340549158547394</v>
      </c>
      <c r="I172" s="45">
        <f>IF(I171=0,0,I171/K132)</f>
        <v>0</v>
      </c>
      <c r="K172" s="13"/>
      <c r="V172" s="12"/>
      <c r="W172" s="4"/>
      <c r="X172" s="4"/>
      <c r="Y172" s="76" t="s">
        <v>52</v>
      </c>
      <c r="Z172" s="48">
        <f>IF(Z171=0,0,Z171/AC132)</f>
        <v>0.26703499079189713</v>
      </c>
      <c r="AA172" s="45">
        <f>IF(AA171=0,0,AA170/AD132)</f>
        <v>0</v>
      </c>
      <c r="AC172" s="74"/>
      <c r="AD172" s="13"/>
    </row>
    <row r="173" spans="4:30" ht="13.5" thickBot="1">
      <c r="D173" s="12"/>
      <c r="E173" s="4"/>
      <c r="F173" s="4"/>
      <c r="G173" s="76" t="s">
        <v>53</v>
      </c>
      <c r="H173" s="49">
        <f>H151-J123</f>
        <v>13.343716814159308</v>
      </c>
      <c r="I173" s="35">
        <f>IF(I172&gt;0,H151-J123,0)</f>
        <v>0</v>
      </c>
      <c r="K173" s="13"/>
      <c r="V173" s="12"/>
      <c r="W173" s="4"/>
      <c r="X173" s="4"/>
      <c r="Y173" s="76" t="s">
        <v>53</v>
      </c>
      <c r="Z173" s="49">
        <f>Z151-AD124</f>
        <v>10.545454545454561</v>
      </c>
      <c r="AA173" s="35">
        <f>IF(AA172=0,0,Z151-AD124)</f>
        <v>0</v>
      </c>
      <c r="AC173" s="74"/>
      <c r="AD173" s="13"/>
    </row>
    <row r="174" spans="4:30" ht="13.5" thickBot="1">
      <c r="D174" s="12"/>
      <c r="E174" s="4"/>
      <c r="F174" s="4"/>
      <c r="G174" s="76" t="s">
        <v>55</v>
      </c>
      <c r="H174" s="49">
        <f>H173*H170</f>
        <v>-188.62819791682975</v>
      </c>
      <c r="I174" s="35">
        <f>I173*I170</f>
        <v>0</v>
      </c>
      <c r="K174" s="13"/>
      <c r="V174" s="12"/>
      <c r="W174" s="4"/>
      <c r="X174" s="4"/>
      <c r="Y174" s="76" t="s">
        <v>55</v>
      </c>
      <c r="Z174" s="49">
        <f>ABS(Z173*Z170)</f>
        <v>127.18457300275495</v>
      </c>
      <c r="AA174" s="35">
        <f>AA170*AA173</f>
        <v>0</v>
      </c>
      <c r="AC174" s="74"/>
      <c r="AD174" s="13"/>
    </row>
    <row r="175" spans="4:30" ht="13.5" thickBot="1">
      <c r="D175" s="12"/>
      <c r="E175" s="4"/>
      <c r="F175" s="4"/>
      <c r="G175" s="76" t="s">
        <v>119</v>
      </c>
      <c r="H175" s="49">
        <f>I116</f>
        <v>6701.538461538461</v>
      </c>
      <c r="I175" s="35">
        <f>J116</f>
        <v>1200.7142857142858</v>
      </c>
      <c r="J175" s="1" t="s">
        <v>11</v>
      </c>
      <c r="K175" s="13"/>
      <c r="V175" s="12"/>
      <c r="W175" s="4"/>
      <c r="X175" s="4"/>
      <c r="Y175" s="76" t="s">
        <v>119</v>
      </c>
      <c r="Z175" s="49">
        <f>AC116</f>
        <v>4992.8</v>
      </c>
      <c r="AA175" s="35">
        <f>AD116</f>
        <v>1344.4444444444443</v>
      </c>
      <c r="AB175" s="1" t="s">
        <v>11</v>
      </c>
      <c r="AC175" s="74"/>
      <c r="AD175" s="13"/>
    </row>
    <row r="176" spans="4:30" ht="13.5" thickBot="1">
      <c r="D176" s="12"/>
      <c r="E176" s="4"/>
      <c r="F176" s="4"/>
      <c r="G176" s="76" t="s">
        <v>120</v>
      </c>
      <c r="H176" s="49">
        <f>F146</f>
        <v>7085.4734121700985</v>
      </c>
      <c r="I176" s="35">
        <f>I175+(ABS(K132)*(J123-J111)*0.5)</f>
        <v>2056.340747121936</v>
      </c>
      <c r="J176" s="81" t="s">
        <v>30</v>
      </c>
      <c r="K176" s="13"/>
      <c r="V176" s="12"/>
      <c r="W176" s="4"/>
      <c r="X176" s="4"/>
      <c r="Y176" s="76" t="s">
        <v>120</v>
      </c>
      <c r="Z176" s="49">
        <f>AC146</f>
        <v>7480.882271468144</v>
      </c>
      <c r="AA176" s="35">
        <f>AD146</f>
        <v>1946.1157024793388</v>
      </c>
      <c r="AB176" s="81" t="s">
        <v>30</v>
      </c>
      <c r="AC176" s="74"/>
      <c r="AD176" s="13"/>
    </row>
    <row r="177" spans="4:30" ht="13.5" thickBot="1">
      <c r="D177" s="12"/>
      <c r="E177" s="4"/>
      <c r="F177" s="4"/>
      <c r="G177" s="76" t="s">
        <v>121</v>
      </c>
      <c r="H177" s="49">
        <f>H176-(ABS(H170)*(H151-J123)*0.5)</f>
        <v>6991.159313211684</v>
      </c>
      <c r="I177" s="35">
        <f>IF(I173=0,0,0)</f>
        <v>0</v>
      </c>
      <c r="J177" s="1" t="s">
        <v>31</v>
      </c>
      <c r="K177" s="13"/>
      <c r="V177" s="12"/>
      <c r="W177" s="4"/>
      <c r="X177" s="4"/>
      <c r="Y177" s="76" t="s">
        <v>121</v>
      </c>
      <c r="Z177" s="49">
        <f>Z176-ABS(Z170)*(Z151-AD124)*0.5</f>
        <v>7417.2899849667665</v>
      </c>
      <c r="AA177" s="35">
        <f>IF(AA173=0,0,AA176-ABS(AA170)*(Z151-AD124)*0.5)</f>
        <v>0</v>
      </c>
      <c r="AB177" s="1" t="s">
        <v>31</v>
      </c>
      <c r="AC177" s="74"/>
      <c r="AD177" s="13"/>
    </row>
    <row r="178" spans="4:30" ht="13.5" thickBot="1">
      <c r="D178" s="12"/>
      <c r="E178" s="4"/>
      <c r="F178" s="4"/>
      <c r="G178" s="76" t="s">
        <v>123</v>
      </c>
      <c r="H178" s="48">
        <f>(H176/H175)-1</f>
        <v>0.05729056884999184</v>
      </c>
      <c r="I178" s="45">
        <f>(I176/I175)-1</f>
        <v>0.7125978857648485</v>
      </c>
      <c r="K178" s="13"/>
      <c r="V178" s="12"/>
      <c r="W178" s="4"/>
      <c r="X178" s="4"/>
      <c r="Y178" s="76" t="s">
        <v>123</v>
      </c>
      <c r="Z178" s="48">
        <f>(Z176/Z175)-1</f>
        <v>0.49833405533330866</v>
      </c>
      <c r="AA178" s="48">
        <f>(AA176/AA175)-1</f>
        <v>0.44752407622430157</v>
      </c>
      <c r="AC178" s="74"/>
      <c r="AD178" s="13"/>
    </row>
    <row r="179" spans="4:30" ht="13.5" thickBot="1">
      <c r="D179" s="12"/>
      <c r="E179" s="4"/>
      <c r="F179" s="4"/>
      <c r="G179" s="63" t="s">
        <v>9</v>
      </c>
      <c r="H179" s="48">
        <f>(H177/H176)-1</f>
        <v>-0.01331091000869744</v>
      </c>
      <c r="I179" s="45">
        <f>IF(I177=0,0,(I177/I176)-1)</f>
        <v>0</v>
      </c>
      <c r="K179" s="13"/>
      <c r="V179" s="12"/>
      <c r="W179" s="4"/>
      <c r="X179" s="4"/>
      <c r="Y179" s="63" t="s">
        <v>9</v>
      </c>
      <c r="Z179" s="48">
        <f>(Z177/Z176)-1</f>
        <v>-0.008500639923704756</v>
      </c>
      <c r="AA179" s="45">
        <f>IF(AA177=0,0,((AA177/AA176)-1))</f>
        <v>0</v>
      </c>
      <c r="AC179" s="74"/>
      <c r="AD179" s="13"/>
    </row>
    <row r="180" spans="4:30" ht="13.5" thickBot="1">
      <c r="D180" s="64"/>
      <c r="E180" s="10"/>
      <c r="F180" s="10"/>
      <c r="G180" s="65" t="s">
        <v>10</v>
      </c>
      <c r="H180" s="48">
        <f>H178+H179</f>
        <v>0.0439796588412944</v>
      </c>
      <c r="I180" s="45">
        <f>IF(I179=0,0,I178+I179)</f>
        <v>0</v>
      </c>
      <c r="K180" s="13"/>
      <c r="V180" s="64"/>
      <c r="W180" s="10"/>
      <c r="X180" s="10"/>
      <c r="Y180" s="65" t="s">
        <v>10</v>
      </c>
      <c r="Z180" s="48">
        <f>Z178+Z179</f>
        <v>0.4898334154096039</v>
      </c>
      <c r="AA180" s="45">
        <f>IF(AA179=0,0,((AA177/AA176)-1))</f>
        <v>0</v>
      </c>
      <c r="AC180" s="74"/>
      <c r="AD180" s="13"/>
    </row>
    <row r="181" spans="7:30" ht="12.75">
      <c r="G181" s="13"/>
      <c r="H181" s="73"/>
      <c r="I181" s="74"/>
      <c r="K181" s="13"/>
      <c r="AA181" s="13"/>
      <c r="AB181" s="73"/>
      <c r="AC181" s="74"/>
      <c r="AD181" s="13"/>
    </row>
    <row r="182" spans="2:30" ht="12.75">
      <c r="B182" s="33">
        <v>5</v>
      </c>
      <c r="C182" s="1" t="s">
        <v>110</v>
      </c>
      <c r="H182"/>
      <c r="I182"/>
      <c r="J182"/>
      <c r="K182" s="13"/>
      <c r="T182" s="33">
        <v>5</v>
      </c>
      <c r="U182" s="1" t="s">
        <v>110</v>
      </c>
      <c r="AA182"/>
      <c r="AB182"/>
      <c r="AC182"/>
      <c r="AD182" s="13"/>
    </row>
    <row r="183" spans="3:39" ht="12.75">
      <c r="C183" s="13" t="s">
        <v>140</v>
      </c>
      <c r="D183" s="1" t="s">
        <v>88</v>
      </c>
      <c r="K183" s="13"/>
      <c r="U183" s="13" t="s">
        <v>140</v>
      </c>
      <c r="V183" s="1" t="s">
        <v>88</v>
      </c>
      <c r="AD183" s="13"/>
      <c r="AK183" s="13"/>
      <c r="AL183" s="18"/>
      <c r="AM183" s="1"/>
    </row>
    <row r="184" spans="3:39" ht="12.75">
      <c r="C184" s="13" t="s">
        <v>144</v>
      </c>
      <c r="D184" s="1" t="s">
        <v>89</v>
      </c>
      <c r="K184" s="13"/>
      <c r="U184" s="13" t="s">
        <v>144</v>
      </c>
      <c r="V184" s="1" t="s">
        <v>89</v>
      </c>
      <c r="AD184" s="13"/>
      <c r="AK184" s="13"/>
      <c r="AL184" s="18"/>
      <c r="AM184" s="1"/>
    </row>
    <row r="185" spans="3:30" ht="12.75">
      <c r="C185" s="13" t="s">
        <v>145</v>
      </c>
      <c r="D185" s="1" t="s">
        <v>90</v>
      </c>
      <c r="K185" s="13"/>
      <c r="U185" s="13" t="s">
        <v>145</v>
      </c>
      <c r="V185" s="1" t="s">
        <v>90</v>
      </c>
      <c r="AD185" s="13"/>
    </row>
    <row r="186" spans="3:40" ht="12.75">
      <c r="C186" s="13"/>
      <c r="K186" s="13"/>
      <c r="U186" s="13"/>
      <c r="AD186" s="13"/>
      <c r="AL186" s="1"/>
      <c r="AM186" s="13"/>
      <c r="AN186" s="18"/>
    </row>
    <row r="187" spans="3:40" ht="0.75" customHeight="1">
      <c r="C187" s="13"/>
      <c r="K187" s="13"/>
      <c r="U187" s="13"/>
      <c r="AD187" s="13"/>
      <c r="AG187" s="41" t="e">
        <f>#REF!</f>
        <v>#REF!</v>
      </c>
      <c r="AH187" s="41"/>
      <c r="AI187" s="41"/>
      <c r="AL187" s="1"/>
      <c r="AM187" s="13"/>
      <c r="AN187" s="18"/>
    </row>
    <row r="188" spans="3:40" ht="0.75" customHeight="1">
      <c r="C188" s="13"/>
      <c r="U188" s="13"/>
      <c r="AG188" s="55" t="e">
        <f>#REF!</f>
        <v>#REF!</v>
      </c>
      <c r="AH188" s="55"/>
      <c r="AI188" s="55"/>
      <c r="AL188" s="1"/>
      <c r="AM188" s="13"/>
      <c r="AN188" s="18"/>
    </row>
    <row r="189" spans="33:40" ht="0.75" customHeight="1">
      <c r="AG189" s="55" t="e">
        <f>#REF!</f>
        <v>#REF!</v>
      </c>
      <c r="AH189" s="55"/>
      <c r="AI189" s="55"/>
      <c r="AL189" s="1"/>
      <c r="AM189" s="13"/>
      <c r="AN189" s="18"/>
    </row>
    <row r="190" spans="33:40" ht="0.75" customHeight="1">
      <c r="AG190" s="55" t="e">
        <f>#REF!</f>
        <v>#REF!</v>
      </c>
      <c r="AH190" s="55"/>
      <c r="AI190" s="55"/>
      <c r="AL190" s="1"/>
      <c r="AM190" s="13"/>
      <c r="AN190" s="18"/>
    </row>
    <row r="191" spans="33:40" ht="0.75" customHeight="1">
      <c r="AG191" s="55" t="e">
        <f>#REF!</f>
        <v>#REF!</v>
      </c>
      <c r="AH191" s="55"/>
      <c r="AI191" s="55"/>
      <c r="AL191" s="1"/>
      <c r="AM191" s="13"/>
      <c r="AN191" s="18"/>
    </row>
    <row r="192" spans="33:40" ht="0.75" customHeight="1">
      <c r="AG192" s="55" t="e">
        <f>#REF!</f>
        <v>#REF!</v>
      </c>
      <c r="AH192" s="55"/>
      <c r="AI192" s="55"/>
      <c r="AL192" s="1"/>
      <c r="AM192" s="13"/>
      <c r="AN192" s="18"/>
    </row>
    <row r="193" spans="33:40" ht="0.75" customHeight="1">
      <c r="AG193" s="55" t="e">
        <f>#REF!</f>
        <v>#REF!</v>
      </c>
      <c r="AH193" s="55"/>
      <c r="AI193" s="55"/>
      <c r="AL193" s="1"/>
      <c r="AM193" s="13"/>
      <c r="AN193" s="18"/>
    </row>
    <row r="194" spans="33:40" ht="0.75" customHeight="1">
      <c r="AG194" s="55" t="e">
        <f>#REF!</f>
        <v>#REF!</v>
      </c>
      <c r="AH194" s="55"/>
      <c r="AI194" s="55"/>
      <c r="AL194" s="1"/>
      <c r="AM194" s="13"/>
      <c r="AN194" s="18"/>
    </row>
    <row r="195" spans="8:40" ht="0.75" customHeight="1">
      <c r="H195" s="2" t="s">
        <v>14</v>
      </c>
      <c r="AA195" s="2"/>
      <c r="AG195" s="55" t="e">
        <f>#REF!</f>
        <v>#REF!</v>
      </c>
      <c r="AH195" s="55"/>
      <c r="AI195" s="55"/>
      <c r="AL195" s="1"/>
      <c r="AM195" s="13"/>
      <c r="AN195" s="18"/>
    </row>
    <row r="196" spans="33:40" ht="0.75" customHeight="1">
      <c r="AG196" s="55" t="e">
        <f>#REF!</f>
        <v>#REF!</v>
      </c>
      <c r="AH196" s="55"/>
      <c r="AI196" s="55"/>
      <c r="AL196" s="1"/>
      <c r="AM196" s="13"/>
      <c r="AN196" s="18"/>
    </row>
    <row r="197" spans="3:40" ht="0.75" customHeight="1">
      <c r="C197" s="1" t="str">
        <f>$E$98</f>
        <v>China</v>
      </c>
      <c r="H197" s="1" t="str">
        <f>$J$98</f>
        <v>India</v>
      </c>
      <c r="U197" s="1" t="s">
        <v>99</v>
      </c>
      <c r="AC197" s="1" t="s">
        <v>100</v>
      </c>
      <c r="AG197" s="55" t="e">
        <f>#REF!</f>
        <v>#REF!</v>
      </c>
      <c r="AH197" s="55"/>
      <c r="AI197" s="55"/>
      <c r="AL197" s="1"/>
      <c r="AM197" s="13"/>
      <c r="AN197" s="18"/>
    </row>
    <row r="198" spans="2:40" ht="0.75" customHeight="1">
      <c r="B198" s="37" t="s">
        <v>27</v>
      </c>
      <c r="C198" s="37" t="s">
        <v>15</v>
      </c>
      <c r="D198" s="1" t="s">
        <v>16</v>
      </c>
      <c r="E198" s="1" t="s">
        <v>17</v>
      </c>
      <c r="F198" s="37" t="s">
        <v>18</v>
      </c>
      <c r="G198" s="37" t="s">
        <v>133</v>
      </c>
      <c r="H198" s="37" t="s">
        <v>27</v>
      </c>
      <c r="I198" s="37" t="s">
        <v>15</v>
      </c>
      <c r="J198" s="1" t="s">
        <v>16</v>
      </c>
      <c r="K198" s="1" t="s">
        <v>17</v>
      </c>
      <c r="L198" s="1" t="s">
        <v>18</v>
      </c>
      <c r="U198" s="37" t="s">
        <v>27</v>
      </c>
      <c r="V198" s="37" t="s">
        <v>15</v>
      </c>
      <c r="W198" s="1" t="s">
        <v>16</v>
      </c>
      <c r="X198" s="1" t="s">
        <v>17</v>
      </c>
      <c r="Y198" s="37" t="s">
        <v>18</v>
      </c>
      <c r="Z198" s="37"/>
      <c r="AA198" s="37"/>
      <c r="AB198" s="37" t="s">
        <v>27</v>
      </c>
      <c r="AC198" s="37" t="s">
        <v>15</v>
      </c>
      <c r="AD198" s="1" t="s">
        <v>16</v>
      </c>
      <c r="AE198" s="1" t="s">
        <v>17</v>
      </c>
      <c r="AF198" s="1" t="s">
        <v>18</v>
      </c>
      <c r="AG198" s="55" t="e">
        <f>#REF!</f>
        <v>#REF!</v>
      </c>
      <c r="AH198" s="55"/>
      <c r="AI198" s="55"/>
      <c r="AL198" s="1"/>
      <c r="AM198" s="13"/>
      <c r="AN198" s="18"/>
    </row>
    <row r="199" spans="2:40" ht="0.75" customHeight="1">
      <c r="B199" s="1">
        <v>0</v>
      </c>
      <c r="C199" s="13">
        <f>D100-E100*B199</f>
        <v>200</v>
      </c>
      <c r="D199" s="1">
        <f>D101+E101*B199</f>
        <v>32</v>
      </c>
      <c r="E199" s="41">
        <f aca="true" t="shared" si="4" ref="E199:E230">$E$111</f>
        <v>106.66666666666667</v>
      </c>
      <c r="F199" s="55">
        <f aca="true" t="shared" si="5" ref="F199:F230">$F$123</f>
        <v>183.7837837837838</v>
      </c>
      <c r="G199" s="55">
        <f aca="true" t="shared" si="6" ref="G199:G230">$H$150</f>
        <v>198.4864864864865</v>
      </c>
      <c r="H199" s="1">
        <v>0</v>
      </c>
      <c r="I199" s="1">
        <f>I100+J100*H199</f>
        <v>480</v>
      </c>
      <c r="J199" s="1">
        <f>I101+J101*H199</f>
        <v>100</v>
      </c>
      <c r="K199" s="41">
        <f aca="true" t="shared" si="7" ref="K199:K230">$F$111</f>
        <v>208.57142857142856</v>
      </c>
      <c r="L199" s="55">
        <f aca="true" t="shared" si="8" ref="L199:L230">$F$123</f>
        <v>183.7837837837838</v>
      </c>
      <c r="M199" s="55"/>
      <c r="N199" s="55"/>
      <c r="O199" s="55"/>
      <c r="P199" s="55"/>
      <c r="Q199" s="55"/>
      <c r="R199" s="55"/>
      <c r="S199" s="55"/>
      <c r="U199" s="1">
        <v>0</v>
      </c>
      <c r="V199" s="13">
        <f>V100-W100*U199</f>
        <v>280</v>
      </c>
      <c r="W199" s="1">
        <f>V101+W101*U199</f>
        <v>42</v>
      </c>
      <c r="X199" s="41">
        <f aca="true" t="shared" si="9" ref="X199:X230">$W$111</f>
        <v>144</v>
      </c>
      <c r="Y199" s="55">
        <f>$X$124</f>
        <v>233.05263157894737</v>
      </c>
      <c r="Z199" s="55"/>
      <c r="AA199" s="55"/>
      <c r="AB199" s="1">
        <v>0</v>
      </c>
      <c r="AC199" s="1">
        <f>AB100+AC100*AB199</f>
        <v>450</v>
      </c>
      <c r="AD199" s="1">
        <f>AB101+AC101*AB199</f>
        <v>120</v>
      </c>
      <c r="AE199" s="41">
        <f aca="true" t="shared" si="10" ref="AE199:AE230">$X$111</f>
        <v>285</v>
      </c>
      <c r="AF199" s="55">
        <f>$X$124</f>
        <v>233.05263157894737</v>
      </c>
      <c r="AG199" s="55" t="e">
        <f>#REF!</f>
        <v>#REF!</v>
      </c>
      <c r="AH199" s="55"/>
      <c r="AI199" s="55"/>
      <c r="AL199" s="1"/>
      <c r="AM199" s="13"/>
      <c r="AN199" s="18"/>
    </row>
    <row r="200" spans="2:40" ht="0.75" customHeight="1">
      <c r="B200" s="1">
        <v>1</v>
      </c>
      <c r="C200" s="13">
        <f>IF(C199&gt;0,$D$100+$E$100*B200,0)</f>
        <v>192</v>
      </c>
      <c r="D200" s="1">
        <f>IF(D199&gt;0,$D$101+$E$101*B200,0)</f>
        <v>38.4</v>
      </c>
      <c r="E200" s="41">
        <f t="shared" si="4"/>
        <v>106.66666666666667</v>
      </c>
      <c r="F200" s="55">
        <f t="shared" si="5"/>
        <v>183.7837837837838</v>
      </c>
      <c r="G200" s="55">
        <f t="shared" si="6"/>
        <v>198.4864864864865</v>
      </c>
      <c r="H200" s="1">
        <v>1</v>
      </c>
      <c r="I200" s="1">
        <f>IF(I199&gt;0,$I$100+$J$100*H200,0)</f>
        <v>476</v>
      </c>
      <c r="J200" s="1">
        <f>IF(J199&gt;0,$I$101+$J$101*H200,0)</f>
        <v>101.6</v>
      </c>
      <c r="K200" s="41">
        <f t="shared" si="7"/>
        <v>208.57142857142856</v>
      </c>
      <c r="L200" s="55">
        <f t="shared" si="8"/>
        <v>183.7837837837838</v>
      </c>
      <c r="M200" s="55"/>
      <c r="N200" s="55"/>
      <c r="O200" s="55"/>
      <c r="P200" s="55"/>
      <c r="Q200" s="55"/>
      <c r="R200" s="55"/>
      <c r="S200" s="55"/>
      <c r="U200" s="1">
        <v>1</v>
      </c>
      <c r="V200" s="1">
        <f>IF(V199&gt;0,$V$100+$W$100*U200,0)</f>
        <v>272</v>
      </c>
      <c r="W200" s="1">
        <f>IF(W199&gt;0,$V$101+$W$101*U200,0)</f>
        <v>48</v>
      </c>
      <c r="X200" s="41">
        <f t="shared" si="9"/>
        <v>144</v>
      </c>
      <c r="Y200" s="55">
        <f>$X$124</f>
        <v>233.05263157894737</v>
      </c>
      <c r="Z200" s="55"/>
      <c r="AA200" s="55"/>
      <c r="AB200" s="1">
        <v>1</v>
      </c>
      <c r="AC200" s="1">
        <f>IF(AC199&gt;0,$AB$100+$AC$100*AB200,0)</f>
        <v>446</v>
      </c>
      <c r="AD200" s="1">
        <f>IF(AD199&gt;0,$AB$101+$AC$101*AB200,0)</f>
        <v>124</v>
      </c>
      <c r="AE200" s="41">
        <f t="shared" si="10"/>
        <v>285</v>
      </c>
      <c r="AF200" s="55">
        <f>$X$124</f>
        <v>233.05263157894737</v>
      </c>
      <c r="AG200" s="55" t="e">
        <f>#REF!</f>
        <v>#REF!</v>
      </c>
      <c r="AH200" s="55"/>
      <c r="AI200" s="55"/>
      <c r="AL200" s="1"/>
      <c r="AM200" s="13"/>
      <c r="AN200" s="18"/>
    </row>
    <row r="201" spans="2:40" ht="0.75" customHeight="1">
      <c r="B201" s="1">
        <v>2</v>
      </c>
      <c r="C201" s="13">
        <f aca="true" t="shared" si="11" ref="C201:C264">IF(C200&gt;0,$D$100+$E$100*B201,0)</f>
        <v>184</v>
      </c>
      <c r="D201" s="1">
        <f aca="true" t="shared" si="12" ref="D201:D264">IF(D200&gt;0,$D$101+$E$101*B201,0)</f>
        <v>44.8</v>
      </c>
      <c r="E201" s="41">
        <f t="shared" si="4"/>
        <v>106.66666666666667</v>
      </c>
      <c r="F201" s="55">
        <f t="shared" si="5"/>
        <v>183.7837837837838</v>
      </c>
      <c r="G201" s="55">
        <f t="shared" si="6"/>
        <v>198.4864864864865</v>
      </c>
      <c r="H201" s="1">
        <v>2</v>
      </c>
      <c r="I201" s="1">
        <f aca="true" t="shared" si="13" ref="I201:I264">IF(I200&gt;0,$I$100+$J$100*H201,0)</f>
        <v>472</v>
      </c>
      <c r="J201" s="1">
        <f aca="true" t="shared" si="14" ref="J201:J264">IF(J200&gt;0,$I$101+$J$101*H201,0)</f>
        <v>103.2</v>
      </c>
      <c r="K201" s="41">
        <f t="shared" si="7"/>
        <v>208.57142857142856</v>
      </c>
      <c r="L201" s="55">
        <f t="shared" si="8"/>
        <v>183.7837837837838</v>
      </c>
      <c r="M201" s="55"/>
      <c r="N201" s="55"/>
      <c r="O201" s="55"/>
      <c r="P201" s="55"/>
      <c r="Q201" s="55"/>
      <c r="R201" s="55"/>
      <c r="S201" s="55"/>
      <c r="U201" s="1">
        <v>2</v>
      </c>
      <c r="V201" s="1">
        <f aca="true" t="shared" si="15" ref="V201:V264">IF(V200&gt;0,$V$100+$W$100*U201,0)</f>
        <v>264</v>
      </c>
      <c r="W201" s="1">
        <f aca="true" t="shared" si="16" ref="W201:W264">IF(W200&gt;0,$V$101+$W$101*U201,0)</f>
        <v>54</v>
      </c>
      <c r="X201" s="41">
        <f t="shared" si="9"/>
        <v>144</v>
      </c>
      <c r="Y201" s="55">
        <f aca="true" t="shared" si="17" ref="Y201:Y264">$X$124</f>
        <v>233.05263157894737</v>
      </c>
      <c r="Z201" s="55"/>
      <c r="AA201" s="55"/>
      <c r="AB201" s="1">
        <v>2</v>
      </c>
      <c r="AC201" s="1">
        <f aca="true" t="shared" si="18" ref="AC201:AC264">IF(AC200&gt;0,$AB$100+$AC$100*AB201,0)</f>
        <v>442</v>
      </c>
      <c r="AD201" s="1">
        <f aca="true" t="shared" si="19" ref="AD201:AD264">IF(AD200&gt;0,$AB$101+$AC$101*AB201,0)</f>
        <v>128</v>
      </c>
      <c r="AE201" s="41">
        <f t="shared" si="10"/>
        <v>285</v>
      </c>
      <c r="AF201" s="55">
        <f aca="true" t="shared" si="20" ref="AF201:AF264">$X$124</f>
        <v>233.05263157894737</v>
      </c>
      <c r="AG201" s="55" t="e">
        <f>#REF!</f>
        <v>#REF!</v>
      </c>
      <c r="AH201" s="55"/>
      <c r="AI201" s="55"/>
      <c r="AL201" s="1"/>
      <c r="AM201" s="13"/>
      <c r="AN201" s="18"/>
    </row>
    <row r="202" spans="2:40" ht="0.75" customHeight="1">
      <c r="B202" s="1">
        <v>3</v>
      </c>
      <c r="C202" s="13">
        <f t="shared" si="11"/>
        <v>176</v>
      </c>
      <c r="D202" s="1">
        <f t="shared" si="12"/>
        <v>51.2</v>
      </c>
      <c r="E202" s="41">
        <f t="shared" si="4"/>
        <v>106.66666666666667</v>
      </c>
      <c r="F202" s="55">
        <f t="shared" si="5"/>
        <v>183.7837837837838</v>
      </c>
      <c r="G202" s="55">
        <f t="shared" si="6"/>
        <v>198.4864864864865</v>
      </c>
      <c r="H202" s="1">
        <v>3</v>
      </c>
      <c r="I202" s="1">
        <f t="shared" si="13"/>
        <v>468</v>
      </c>
      <c r="J202" s="1">
        <f t="shared" si="14"/>
        <v>104.8</v>
      </c>
      <c r="K202" s="41">
        <f t="shared" si="7"/>
        <v>208.57142857142856</v>
      </c>
      <c r="L202" s="55">
        <f t="shared" si="8"/>
        <v>183.7837837837838</v>
      </c>
      <c r="M202" s="55"/>
      <c r="N202" s="55"/>
      <c r="O202" s="55"/>
      <c r="P202" s="55"/>
      <c r="Q202" s="55"/>
      <c r="R202" s="55"/>
      <c r="S202" s="55"/>
      <c r="U202" s="1">
        <v>3</v>
      </c>
      <c r="V202" s="1">
        <f t="shared" si="15"/>
        <v>256</v>
      </c>
      <c r="W202" s="1">
        <f t="shared" si="16"/>
        <v>60</v>
      </c>
      <c r="X202" s="41">
        <f t="shared" si="9"/>
        <v>144</v>
      </c>
      <c r="Y202" s="55">
        <f t="shared" si="17"/>
        <v>233.05263157894737</v>
      </c>
      <c r="Z202" s="55"/>
      <c r="AA202" s="55"/>
      <c r="AB202" s="1">
        <v>3</v>
      </c>
      <c r="AC202" s="1">
        <f t="shared" si="18"/>
        <v>438</v>
      </c>
      <c r="AD202" s="1">
        <f t="shared" si="19"/>
        <v>132</v>
      </c>
      <c r="AE202" s="41">
        <f t="shared" si="10"/>
        <v>285</v>
      </c>
      <c r="AF202" s="55">
        <f t="shared" si="20"/>
        <v>233.05263157894737</v>
      </c>
      <c r="AG202" s="55" t="e">
        <f>#REF!</f>
        <v>#REF!</v>
      </c>
      <c r="AH202" s="55"/>
      <c r="AI202" s="55"/>
      <c r="AL202" s="1"/>
      <c r="AM202" s="13"/>
      <c r="AN202" s="18"/>
    </row>
    <row r="203" spans="2:40" ht="0.75" customHeight="1">
      <c r="B203" s="1">
        <v>4</v>
      </c>
      <c r="C203" s="13">
        <f t="shared" si="11"/>
        <v>168</v>
      </c>
      <c r="D203" s="1">
        <f t="shared" si="12"/>
        <v>57.6</v>
      </c>
      <c r="E203" s="41">
        <f t="shared" si="4"/>
        <v>106.66666666666667</v>
      </c>
      <c r="F203" s="55">
        <f t="shared" si="5"/>
        <v>183.7837837837838</v>
      </c>
      <c r="G203" s="55">
        <f t="shared" si="6"/>
        <v>198.4864864864865</v>
      </c>
      <c r="H203" s="1">
        <v>4</v>
      </c>
      <c r="I203" s="1">
        <f t="shared" si="13"/>
        <v>464</v>
      </c>
      <c r="J203" s="1">
        <f t="shared" si="14"/>
        <v>106.4</v>
      </c>
      <c r="K203" s="41">
        <f t="shared" si="7"/>
        <v>208.57142857142856</v>
      </c>
      <c r="L203" s="55">
        <f t="shared" si="8"/>
        <v>183.7837837837838</v>
      </c>
      <c r="M203" s="55"/>
      <c r="N203" s="55"/>
      <c r="O203" s="55"/>
      <c r="P203" s="55"/>
      <c r="Q203" s="55"/>
      <c r="R203" s="55"/>
      <c r="S203" s="55"/>
      <c r="U203" s="1">
        <v>4</v>
      </c>
      <c r="V203" s="1">
        <f t="shared" si="15"/>
        <v>248</v>
      </c>
      <c r="W203" s="1">
        <f t="shared" si="16"/>
        <v>66</v>
      </c>
      <c r="X203" s="41">
        <f t="shared" si="9"/>
        <v>144</v>
      </c>
      <c r="Y203" s="55">
        <f t="shared" si="17"/>
        <v>233.05263157894737</v>
      </c>
      <c r="Z203" s="55"/>
      <c r="AA203" s="55"/>
      <c r="AB203" s="1">
        <v>4</v>
      </c>
      <c r="AC203" s="1">
        <f t="shared" si="18"/>
        <v>434</v>
      </c>
      <c r="AD203" s="1">
        <f t="shared" si="19"/>
        <v>136</v>
      </c>
      <c r="AE203" s="41">
        <f t="shared" si="10"/>
        <v>285</v>
      </c>
      <c r="AF203" s="55">
        <f t="shared" si="20"/>
        <v>233.05263157894737</v>
      </c>
      <c r="AG203" s="55" t="e">
        <f>#REF!</f>
        <v>#REF!</v>
      </c>
      <c r="AH203" s="55"/>
      <c r="AI203" s="55"/>
      <c r="AL203" s="1"/>
      <c r="AM203" s="13"/>
      <c r="AN203" s="18"/>
    </row>
    <row r="204" spans="2:40" ht="0.75" customHeight="1">
      <c r="B204" s="1">
        <v>5</v>
      </c>
      <c r="C204" s="13">
        <f t="shared" si="11"/>
        <v>160</v>
      </c>
      <c r="D204" s="1">
        <f t="shared" si="12"/>
        <v>64</v>
      </c>
      <c r="E204" s="41">
        <f t="shared" si="4"/>
        <v>106.66666666666667</v>
      </c>
      <c r="F204" s="55">
        <f t="shared" si="5"/>
        <v>183.7837837837838</v>
      </c>
      <c r="G204" s="55">
        <f t="shared" si="6"/>
        <v>198.4864864864865</v>
      </c>
      <c r="H204" s="1">
        <v>5</v>
      </c>
      <c r="I204" s="1">
        <f t="shared" si="13"/>
        <v>460</v>
      </c>
      <c r="J204" s="1">
        <f t="shared" si="14"/>
        <v>108</v>
      </c>
      <c r="K204" s="41">
        <f t="shared" si="7"/>
        <v>208.57142857142856</v>
      </c>
      <c r="L204" s="55">
        <f t="shared" si="8"/>
        <v>183.7837837837838</v>
      </c>
      <c r="M204" s="55"/>
      <c r="N204" s="55"/>
      <c r="O204" s="55"/>
      <c r="P204" s="55"/>
      <c r="Q204" s="55"/>
      <c r="R204" s="55"/>
      <c r="S204" s="55"/>
      <c r="U204" s="1">
        <v>5</v>
      </c>
      <c r="V204" s="1">
        <f t="shared" si="15"/>
        <v>240</v>
      </c>
      <c r="W204" s="1">
        <f t="shared" si="16"/>
        <v>72</v>
      </c>
      <c r="X204" s="41">
        <f t="shared" si="9"/>
        <v>144</v>
      </c>
      <c r="Y204" s="55">
        <f t="shared" si="17"/>
        <v>233.05263157894737</v>
      </c>
      <c r="Z204" s="55"/>
      <c r="AA204" s="55"/>
      <c r="AB204" s="1">
        <v>5</v>
      </c>
      <c r="AC204" s="1">
        <f t="shared" si="18"/>
        <v>430</v>
      </c>
      <c r="AD204" s="1">
        <f t="shared" si="19"/>
        <v>140</v>
      </c>
      <c r="AE204" s="41">
        <f t="shared" si="10"/>
        <v>285</v>
      </c>
      <c r="AF204" s="55">
        <f t="shared" si="20"/>
        <v>233.05263157894737</v>
      </c>
      <c r="AG204" s="55" t="e">
        <f>#REF!</f>
        <v>#REF!</v>
      </c>
      <c r="AH204" s="55"/>
      <c r="AI204" s="55"/>
      <c r="AL204" s="1"/>
      <c r="AM204" s="13"/>
      <c r="AN204" s="18"/>
    </row>
    <row r="205" spans="2:40" ht="0.75" customHeight="1">
      <c r="B205" s="1">
        <v>6</v>
      </c>
      <c r="C205" s="13">
        <f t="shared" si="11"/>
        <v>152</v>
      </c>
      <c r="D205" s="1">
        <f t="shared" si="12"/>
        <v>70.4</v>
      </c>
      <c r="E205" s="41">
        <f t="shared" si="4"/>
        <v>106.66666666666667</v>
      </c>
      <c r="F205" s="55">
        <f t="shared" si="5"/>
        <v>183.7837837837838</v>
      </c>
      <c r="G205" s="55">
        <f t="shared" si="6"/>
        <v>198.4864864864865</v>
      </c>
      <c r="H205" s="1">
        <v>6</v>
      </c>
      <c r="I205" s="1">
        <f t="shared" si="13"/>
        <v>456</v>
      </c>
      <c r="J205" s="1">
        <f t="shared" si="14"/>
        <v>109.6</v>
      </c>
      <c r="K205" s="41">
        <f t="shared" si="7"/>
        <v>208.57142857142856</v>
      </c>
      <c r="L205" s="55">
        <f t="shared" si="8"/>
        <v>183.7837837837838</v>
      </c>
      <c r="M205" s="55"/>
      <c r="N205" s="55"/>
      <c r="O205" s="55"/>
      <c r="P205" s="55"/>
      <c r="Q205" s="55"/>
      <c r="R205" s="55"/>
      <c r="S205" s="55"/>
      <c r="U205" s="1">
        <v>6</v>
      </c>
      <c r="V205" s="1">
        <f t="shared" si="15"/>
        <v>232</v>
      </c>
      <c r="W205" s="1">
        <f t="shared" si="16"/>
        <v>78</v>
      </c>
      <c r="X205" s="41">
        <f t="shared" si="9"/>
        <v>144</v>
      </c>
      <c r="Y205" s="55">
        <f t="shared" si="17"/>
        <v>233.05263157894737</v>
      </c>
      <c r="Z205" s="55"/>
      <c r="AA205" s="55"/>
      <c r="AB205" s="1">
        <v>6</v>
      </c>
      <c r="AC205" s="1">
        <f t="shared" si="18"/>
        <v>426</v>
      </c>
      <c r="AD205" s="1">
        <f t="shared" si="19"/>
        <v>144</v>
      </c>
      <c r="AE205" s="41">
        <f t="shared" si="10"/>
        <v>285</v>
      </c>
      <c r="AF205" s="55">
        <f t="shared" si="20"/>
        <v>233.05263157894737</v>
      </c>
      <c r="AG205" s="55" t="e">
        <f>#REF!</f>
        <v>#REF!</v>
      </c>
      <c r="AH205" s="55"/>
      <c r="AI205" s="55"/>
      <c r="AL205" s="1"/>
      <c r="AM205" s="13"/>
      <c r="AN205" s="18"/>
    </row>
    <row r="206" spans="2:40" ht="0.75" customHeight="1">
      <c r="B206" s="1">
        <v>7</v>
      </c>
      <c r="C206" s="13">
        <f t="shared" si="11"/>
        <v>144</v>
      </c>
      <c r="D206" s="1">
        <f t="shared" si="12"/>
        <v>76.80000000000001</v>
      </c>
      <c r="E206" s="41">
        <f t="shared" si="4"/>
        <v>106.66666666666667</v>
      </c>
      <c r="F206" s="55">
        <f t="shared" si="5"/>
        <v>183.7837837837838</v>
      </c>
      <c r="G206" s="55">
        <f t="shared" si="6"/>
        <v>198.4864864864865</v>
      </c>
      <c r="H206" s="1">
        <v>7</v>
      </c>
      <c r="I206" s="1">
        <f t="shared" si="13"/>
        <v>452</v>
      </c>
      <c r="J206" s="1">
        <f t="shared" si="14"/>
        <v>111.2</v>
      </c>
      <c r="K206" s="41">
        <f t="shared" si="7"/>
        <v>208.57142857142856</v>
      </c>
      <c r="L206" s="55">
        <f t="shared" si="8"/>
        <v>183.7837837837838</v>
      </c>
      <c r="M206" s="55"/>
      <c r="N206" s="55"/>
      <c r="O206" s="55"/>
      <c r="P206" s="55"/>
      <c r="Q206" s="55"/>
      <c r="R206" s="55"/>
      <c r="S206" s="55"/>
      <c r="U206" s="1">
        <v>7</v>
      </c>
      <c r="V206" s="1">
        <f t="shared" si="15"/>
        <v>224</v>
      </c>
      <c r="W206" s="1">
        <f t="shared" si="16"/>
        <v>84</v>
      </c>
      <c r="X206" s="41">
        <f t="shared" si="9"/>
        <v>144</v>
      </c>
      <c r="Y206" s="55">
        <f t="shared" si="17"/>
        <v>233.05263157894737</v>
      </c>
      <c r="Z206" s="55"/>
      <c r="AA206" s="55"/>
      <c r="AB206" s="1">
        <v>7</v>
      </c>
      <c r="AC206" s="1">
        <f t="shared" si="18"/>
        <v>422</v>
      </c>
      <c r="AD206" s="1">
        <f t="shared" si="19"/>
        <v>148</v>
      </c>
      <c r="AE206" s="41">
        <f t="shared" si="10"/>
        <v>285</v>
      </c>
      <c r="AF206" s="55">
        <f t="shared" si="20"/>
        <v>233.05263157894737</v>
      </c>
      <c r="AG206" s="55" t="e">
        <f>#REF!</f>
        <v>#REF!</v>
      </c>
      <c r="AH206" s="55"/>
      <c r="AI206" s="55"/>
      <c r="AL206" s="1"/>
      <c r="AM206" s="13"/>
      <c r="AN206" s="18"/>
    </row>
    <row r="207" spans="2:40" ht="0.75" customHeight="1">
      <c r="B207" s="1">
        <v>8</v>
      </c>
      <c r="C207" s="13">
        <f t="shared" si="11"/>
        <v>136</v>
      </c>
      <c r="D207" s="1">
        <f t="shared" si="12"/>
        <v>83.2</v>
      </c>
      <c r="E207" s="41">
        <f t="shared" si="4"/>
        <v>106.66666666666667</v>
      </c>
      <c r="F207" s="55">
        <f t="shared" si="5"/>
        <v>183.7837837837838</v>
      </c>
      <c r="G207" s="55">
        <f t="shared" si="6"/>
        <v>198.4864864864865</v>
      </c>
      <c r="H207" s="1">
        <v>8</v>
      </c>
      <c r="I207" s="1">
        <f t="shared" si="13"/>
        <v>448</v>
      </c>
      <c r="J207" s="1">
        <f t="shared" si="14"/>
        <v>112.8</v>
      </c>
      <c r="K207" s="41">
        <f t="shared" si="7"/>
        <v>208.57142857142856</v>
      </c>
      <c r="L207" s="55">
        <f t="shared" si="8"/>
        <v>183.7837837837838</v>
      </c>
      <c r="M207" s="55"/>
      <c r="N207" s="55"/>
      <c r="O207" s="55"/>
      <c r="P207" s="55"/>
      <c r="Q207" s="55"/>
      <c r="R207" s="55"/>
      <c r="S207" s="55"/>
      <c r="U207" s="1">
        <v>8</v>
      </c>
      <c r="V207" s="1">
        <f t="shared" si="15"/>
        <v>216</v>
      </c>
      <c r="W207" s="1">
        <f t="shared" si="16"/>
        <v>90</v>
      </c>
      <c r="X207" s="41">
        <f t="shared" si="9"/>
        <v>144</v>
      </c>
      <c r="Y207" s="55">
        <f t="shared" si="17"/>
        <v>233.05263157894737</v>
      </c>
      <c r="Z207" s="55"/>
      <c r="AA207" s="55"/>
      <c r="AB207" s="1">
        <v>8</v>
      </c>
      <c r="AC207" s="1">
        <f t="shared" si="18"/>
        <v>418</v>
      </c>
      <c r="AD207" s="1">
        <f t="shared" si="19"/>
        <v>152</v>
      </c>
      <c r="AE207" s="41">
        <f t="shared" si="10"/>
        <v>285</v>
      </c>
      <c r="AF207" s="55">
        <f t="shared" si="20"/>
        <v>233.05263157894737</v>
      </c>
      <c r="AG207" s="55" t="e">
        <f>#REF!</f>
        <v>#REF!</v>
      </c>
      <c r="AH207" s="55"/>
      <c r="AI207" s="55"/>
      <c r="AL207" s="1"/>
      <c r="AM207" s="13"/>
      <c r="AN207" s="18"/>
    </row>
    <row r="208" spans="2:40" ht="0.75" customHeight="1">
      <c r="B208" s="1">
        <v>9</v>
      </c>
      <c r="C208" s="13">
        <f t="shared" si="11"/>
        <v>128</v>
      </c>
      <c r="D208" s="1">
        <f t="shared" si="12"/>
        <v>89.6</v>
      </c>
      <c r="E208" s="41">
        <f t="shared" si="4"/>
        <v>106.66666666666667</v>
      </c>
      <c r="F208" s="55">
        <f t="shared" si="5"/>
        <v>183.7837837837838</v>
      </c>
      <c r="G208" s="55">
        <f t="shared" si="6"/>
        <v>198.4864864864865</v>
      </c>
      <c r="H208" s="1">
        <v>9</v>
      </c>
      <c r="I208" s="1">
        <f t="shared" si="13"/>
        <v>444</v>
      </c>
      <c r="J208" s="1">
        <f t="shared" si="14"/>
        <v>114.4</v>
      </c>
      <c r="K208" s="41">
        <f t="shared" si="7"/>
        <v>208.57142857142856</v>
      </c>
      <c r="L208" s="55">
        <f t="shared" si="8"/>
        <v>183.7837837837838</v>
      </c>
      <c r="M208" s="55"/>
      <c r="N208" s="55"/>
      <c r="O208" s="55"/>
      <c r="P208" s="55"/>
      <c r="Q208" s="55"/>
      <c r="R208" s="55"/>
      <c r="S208" s="55"/>
      <c r="U208" s="1">
        <v>9</v>
      </c>
      <c r="V208" s="1">
        <f t="shared" si="15"/>
        <v>208</v>
      </c>
      <c r="W208" s="1">
        <f t="shared" si="16"/>
        <v>96</v>
      </c>
      <c r="X208" s="41">
        <f t="shared" si="9"/>
        <v>144</v>
      </c>
      <c r="Y208" s="55">
        <f t="shared" si="17"/>
        <v>233.05263157894737</v>
      </c>
      <c r="Z208" s="55"/>
      <c r="AA208" s="55"/>
      <c r="AB208" s="1">
        <v>9</v>
      </c>
      <c r="AC208" s="1">
        <f t="shared" si="18"/>
        <v>414</v>
      </c>
      <c r="AD208" s="1">
        <f t="shared" si="19"/>
        <v>156</v>
      </c>
      <c r="AE208" s="41">
        <f t="shared" si="10"/>
        <v>285</v>
      </c>
      <c r="AF208" s="55">
        <f t="shared" si="20"/>
        <v>233.05263157894737</v>
      </c>
      <c r="AG208" s="55" t="e">
        <f>#REF!</f>
        <v>#REF!</v>
      </c>
      <c r="AH208" s="55"/>
      <c r="AI208" s="55"/>
      <c r="AL208" s="1"/>
      <c r="AM208" s="13"/>
      <c r="AN208" s="18"/>
    </row>
    <row r="209" spans="2:40" ht="0.75" customHeight="1">
      <c r="B209" s="1">
        <v>10</v>
      </c>
      <c r="C209" s="13">
        <f t="shared" si="11"/>
        <v>120</v>
      </c>
      <c r="D209" s="1">
        <f t="shared" si="12"/>
        <v>96</v>
      </c>
      <c r="E209" s="41">
        <f t="shared" si="4"/>
        <v>106.66666666666667</v>
      </c>
      <c r="F209" s="55">
        <f t="shared" si="5"/>
        <v>183.7837837837838</v>
      </c>
      <c r="G209" s="55">
        <f t="shared" si="6"/>
        <v>198.4864864864865</v>
      </c>
      <c r="H209" s="1">
        <v>10</v>
      </c>
      <c r="I209" s="1">
        <f t="shared" si="13"/>
        <v>440</v>
      </c>
      <c r="J209" s="1">
        <f t="shared" si="14"/>
        <v>116</v>
      </c>
      <c r="K209" s="41">
        <f t="shared" si="7"/>
        <v>208.57142857142856</v>
      </c>
      <c r="L209" s="55">
        <f t="shared" si="8"/>
        <v>183.7837837837838</v>
      </c>
      <c r="M209" s="55"/>
      <c r="N209" s="55"/>
      <c r="O209" s="55"/>
      <c r="P209" s="55"/>
      <c r="Q209" s="55"/>
      <c r="R209" s="55"/>
      <c r="S209" s="55"/>
      <c r="U209" s="1">
        <v>10</v>
      </c>
      <c r="V209" s="1">
        <f t="shared" si="15"/>
        <v>200</v>
      </c>
      <c r="W209" s="1">
        <f t="shared" si="16"/>
        <v>102</v>
      </c>
      <c r="X209" s="41">
        <f t="shared" si="9"/>
        <v>144</v>
      </c>
      <c r="Y209" s="55">
        <f t="shared" si="17"/>
        <v>233.05263157894737</v>
      </c>
      <c r="Z209" s="55"/>
      <c r="AA209" s="55"/>
      <c r="AB209" s="1">
        <v>10</v>
      </c>
      <c r="AC209" s="1">
        <f t="shared" si="18"/>
        <v>410</v>
      </c>
      <c r="AD209" s="1">
        <f t="shared" si="19"/>
        <v>160</v>
      </c>
      <c r="AE209" s="41">
        <f t="shared" si="10"/>
        <v>285</v>
      </c>
      <c r="AF209" s="55">
        <f t="shared" si="20"/>
        <v>233.05263157894737</v>
      </c>
      <c r="AG209" s="55" t="e">
        <f>#REF!</f>
        <v>#REF!</v>
      </c>
      <c r="AH209" s="55"/>
      <c r="AI209" s="55"/>
      <c r="AL209" s="1"/>
      <c r="AM209" s="13"/>
      <c r="AN209" s="18"/>
    </row>
    <row r="210" spans="2:40" ht="0.75" customHeight="1">
      <c r="B210" s="1">
        <v>11</v>
      </c>
      <c r="C210" s="13">
        <f t="shared" si="11"/>
        <v>112</v>
      </c>
      <c r="D210" s="1">
        <f t="shared" si="12"/>
        <v>102.4</v>
      </c>
      <c r="E210" s="41">
        <f t="shared" si="4"/>
        <v>106.66666666666667</v>
      </c>
      <c r="F210" s="55">
        <f t="shared" si="5"/>
        <v>183.7837837837838</v>
      </c>
      <c r="G210" s="55">
        <f t="shared" si="6"/>
        <v>198.4864864864865</v>
      </c>
      <c r="H210" s="1">
        <v>11</v>
      </c>
      <c r="I210" s="1">
        <f t="shared" si="13"/>
        <v>436</v>
      </c>
      <c r="J210" s="1">
        <f t="shared" si="14"/>
        <v>117.6</v>
      </c>
      <c r="K210" s="41">
        <f t="shared" si="7"/>
        <v>208.57142857142856</v>
      </c>
      <c r="L210" s="55">
        <f t="shared" si="8"/>
        <v>183.7837837837838</v>
      </c>
      <c r="M210" s="55"/>
      <c r="N210" s="55"/>
      <c r="O210" s="55"/>
      <c r="P210" s="55"/>
      <c r="Q210" s="55"/>
      <c r="R210" s="55"/>
      <c r="S210" s="55"/>
      <c r="U210" s="1">
        <v>11</v>
      </c>
      <c r="V210" s="1">
        <f t="shared" si="15"/>
        <v>192</v>
      </c>
      <c r="W210" s="1">
        <f t="shared" si="16"/>
        <v>108</v>
      </c>
      <c r="X210" s="41">
        <f t="shared" si="9"/>
        <v>144</v>
      </c>
      <c r="Y210" s="55">
        <f t="shared" si="17"/>
        <v>233.05263157894737</v>
      </c>
      <c r="Z210" s="55"/>
      <c r="AA210" s="55"/>
      <c r="AB210" s="1">
        <v>11</v>
      </c>
      <c r="AC210" s="1">
        <f t="shared" si="18"/>
        <v>406</v>
      </c>
      <c r="AD210" s="1">
        <f t="shared" si="19"/>
        <v>164</v>
      </c>
      <c r="AE210" s="41">
        <f t="shared" si="10"/>
        <v>285</v>
      </c>
      <c r="AF210" s="55">
        <f t="shared" si="20"/>
        <v>233.05263157894737</v>
      </c>
      <c r="AG210" s="55" t="e">
        <f>#REF!</f>
        <v>#REF!</v>
      </c>
      <c r="AH210" s="55"/>
      <c r="AI210" s="55"/>
      <c r="AL210" s="1"/>
      <c r="AM210" s="13"/>
      <c r="AN210" s="18"/>
    </row>
    <row r="211" spans="2:40" ht="0.75" customHeight="1">
      <c r="B211" s="1">
        <v>12</v>
      </c>
      <c r="C211" s="13">
        <f t="shared" si="11"/>
        <v>104</v>
      </c>
      <c r="D211" s="1">
        <f t="shared" si="12"/>
        <v>108.80000000000001</v>
      </c>
      <c r="E211" s="41">
        <f t="shared" si="4"/>
        <v>106.66666666666667</v>
      </c>
      <c r="F211" s="55">
        <f t="shared" si="5"/>
        <v>183.7837837837838</v>
      </c>
      <c r="G211" s="55">
        <f t="shared" si="6"/>
        <v>198.4864864864865</v>
      </c>
      <c r="H211" s="1">
        <v>12</v>
      </c>
      <c r="I211" s="1">
        <f t="shared" si="13"/>
        <v>432</v>
      </c>
      <c r="J211" s="1">
        <f t="shared" si="14"/>
        <v>119.2</v>
      </c>
      <c r="K211" s="41">
        <f t="shared" si="7"/>
        <v>208.57142857142856</v>
      </c>
      <c r="L211" s="55">
        <f t="shared" si="8"/>
        <v>183.7837837837838</v>
      </c>
      <c r="M211" s="55"/>
      <c r="N211" s="55"/>
      <c r="O211" s="55"/>
      <c r="P211" s="55"/>
      <c r="Q211" s="55"/>
      <c r="R211" s="55"/>
      <c r="S211" s="55"/>
      <c r="U211" s="1">
        <v>12</v>
      </c>
      <c r="V211" s="1">
        <f t="shared" si="15"/>
        <v>184</v>
      </c>
      <c r="W211" s="1">
        <f t="shared" si="16"/>
        <v>114</v>
      </c>
      <c r="X211" s="41">
        <f t="shared" si="9"/>
        <v>144</v>
      </c>
      <c r="Y211" s="55">
        <f t="shared" si="17"/>
        <v>233.05263157894737</v>
      </c>
      <c r="Z211" s="55"/>
      <c r="AA211" s="55"/>
      <c r="AB211" s="1">
        <v>12</v>
      </c>
      <c r="AC211" s="1">
        <f t="shared" si="18"/>
        <v>402</v>
      </c>
      <c r="AD211" s="1">
        <f t="shared" si="19"/>
        <v>168</v>
      </c>
      <c r="AE211" s="41">
        <f t="shared" si="10"/>
        <v>285</v>
      </c>
      <c r="AF211" s="55">
        <f t="shared" si="20"/>
        <v>233.05263157894737</v>
      </c>
      <c r="AG211" s="55" t="e">
        <f>#REF!</f>
        <v>#REF!</v>
      </c>
      <c r="AH211" s="55"/>
      <c r="AI211" s="55"/>
      <c r="AL211" s="1"/>
      <c r="AM211" s="13"/>
      <c r="AN211" s="18"/>
    </row>
    <row r="212" spans="2:40" ht="0.75" customHeight="1">
      <c r="B212" s="1">
        <v>13</v>
      </c>
      <c r="C212" s="13">
        <f t="shared" si="11"/>
        <v>96</v>
      </c>
      <c r="D212" s="1">
        <f t="shared" si="12"/>
        <v>115.2</v>
      </c>
      <c r="E212" s="41">
        <f t="shared" si="4"/>
        <v>106.66666666666667</v>
      </c>
      <c r="F212" s="55">
        <f t="shared" si="5"/>
        <v>183.7837837837838</v>
      </c>
      <c r="G212" s="55">
        <f t="shared" si="6"/>
        <v>198.4864864864865</v>
      </c>
      <c r="H212" s="1">
        <v>13</v>
      </c>
      <c r="I212" s="1">
        <f t="shared" si="13"/>
        <v>428</v>
      </c>
      <c r="J212" s="1">
        <f t="shared" si="14"/>
        <v>120.8</v>
      </c>
      <c r="K212" s="41">
        <f t="shared" si="7"/>
        <v>208.57142857142856</v>
      </c>
      <c r="L212" s="55">
        <f t="shared" si="8"/>
        <v>183.7837837837838</v>
      </c>
      <c r="M212" s="55"/>
      <c r="N212" s="55"/>
      <c r="O212" s="55"/>
      <c r="P212" s="55"/>
      <c r="Q212" s="55"/>
      <c r="R212" s="55"/>
      <c r="S212" s="55"/>
      <c r="U212" s="1">
        <v>13</v>
      </c>
      <c r="V212" s="1">
        <f t="shared" si="15"/>
        <v>176</v>
      </c>
      <c r="W212" s="1">
        <f t="shared" si="16"/>
        <v>120</v>
      </c>
      <c r="X212" s="41">
        <f t="shared" si="9"/>
        <v>144</v>
      </c>
      <c r="Y212" s="55">
        <f t="shared" si="17"/>
        <v>233.05263157894737</v>
      </c>
      <c r="Z212" s="55"/>
      <c r="AA212" s="55"/>
      <c r="AB212" s="1">
        <v>13</v>
      </c>
      <c r="AC212" s="1">
        <f t="shared" si="18"/>
        <v>398</v>
      </c>
      <c r="AD212" s="1">
        <f t="shared" si="19"/>
        <v>172</v>
      </c>
      <c r="AE212" s="41">
        <f t="shared" si="10"/>
        <v>285</v>
      </c>
      <c r="AF212" s="55">
        <f t="shared" si="20"/>
        <v>233.05263157894737</v>
      </c>
      <c r="AG212" s="55" t="e">
        <f>#REF!</f>
        <v>#REF!</v>
      </c>
      <c r="AH212" s="55"/>
      <c r="AI212" s="55"/>
      <c r="AL212" s="1"/>
      <c r="AM212" s="13"/>
      <c r="AN212" s="18"/>
    </row>
    <row r="213" spans="2:40" ht="0.75" customHeight="1">
      <c r="B213" s="1">
        <v>14</v>
      </c>
      <c r="C213" s="13">
        <f t="shared" si="11"/>
        <v>88</v>
      </c>
      <c r="D213" s="1">
        <f t="shared" si="12"/>
        <v>121.60000000000001</v>
      </c>
      <c r="E213" s="41">
        <f t="shared" si="4"/>
        <v>106.66666666666667</v>
      </c>
      <c r="F213" s="55">
        <f t="shared" si="5"/>
        <v>183.7837837837838</v>
      </c>
      <c r="G213" s="55">
        <f t="shared" si="6"/>
        <v>198.4864864864865</v>
      </c>
      <c r="H213" s="1">
        <v>14</v>
      </c>
      <c r="I213" s="1">
        <f t="shared" si="13"/>
        <v>424</v>
      </c>
      <c r="J213" s="1">
        <f t="shared" si="14"/>
        <v>122.4</v>
      </c>
      <c r="K213" s="41">
        <f t="shared" si="7"/>
        <v>208.57142857142856</v>
      </c>
      <c r="L213" s="55">
        <f t="shared" si="8"/>
        <v>183.7837837837838</v>
      </c>
      <c r="M213" s="55"/>
      <c r="N213" s="55"/>
      <c r="O213" s="55"/>
      <c r="P213" s="55"/>
      <c r="Q213" s="55"/>
      <c r="R213" s="55"/>
      <c r="S213" s="55"/>
      <c r="U213" s="1">
        <v>14</v>
      </c>
      <c r="V213" s="1">
        <f t="shared" si="15"/>
        <v>168</v>
      </c>
      <c r="W213" s="1">
        <f t="shared" si="16"/>
        <v>126</v>
      </c>
      <c r="X213" s="41">
        <f t="shared" si="9"/>
        <v>144</v>
      </c>
      <c r="Y213" s="55">
        <f t="shared" si="17"/>
        <v>233.05263157894737</v>
      </c>
      <c r="Z213" s="55"/>
      <c r="AA213" s="55"/>
      <c r="AB213" s="1">
        <v>14</v>
      </c>
      <c r="AC213" s="1">
        <f t="shared" si="18"/>
        <v>394</v>
      </c>
      <c r="AD213" s="1">
        <f t="shared" si="19"/>
        <v>176</v>
      </c>
      <c r="AE213" s="41">
        <f t="shared" si="10"/>
        <v>285</v>
      </c>
      <c r="AF213" s="55">
        <f t="shared" si="20"/>
        <v>233.05263157894737</v>
      </c>
      <c r="AG213" s="55" t="e">
        <f>#REF!</f>
        <v>#REF!</v>
      </c>
      <c r="AH213" s="55"/>
      <c r="AI213" s="55"/>
      <c r="AL213" s="1"/>
      <c r="AM213" s="13"/>
      <c r="AN213" s="18"/>
    </row>
    <row r="214" spans="2:40" ht="0.75" customHeight="1">
      <c r="B214" s="1">
        <v>15</v>
      </c>
      <c r="C214" s="13">
        <f t="shared" si="11"/>
        <v>80</v>
      </c>
      <c r="D214" s="1">
        <f t="shared" si="12"/>
        <v>128</v>
      </c>
      <c r="E214" s="41">
        <f t="shared" si="4"/>
        <v>106.66666666666667</v>
      </c>
      <c r="F214" s="55">
        <f t="shared" si="5"/>
        <v>183.7837837837838</v>
      </c>
      <c r="G214" s="55">
        <f t="shared" si="6"/>
        <v>198.4864864864865</v>
      </c>
      <c r="H214" s="1">
        <v>15</v>
      </c>
      <c r="I214" s="1">
        <f t="shared" si="13"/>
        <v>420</v>
      </c>
      <c r="J214" s="1">
        <f t="shared" si="14"/>
        <v>124</v>
      </c>
      <c r="K214" s="41">
        <f t="shared" si="7"/>
        <v>208.57142857142856</v>
      </c>
      <c r="L214" s="55">
        <f t="shared" si="8"/>
        <v>183.7837837837838</v>
      </c>
      <c r="M214" s="55"/>
      <c r="N214" s="55"/>
      <c r="O214" s="55"/>
      <c r="P214" s="55"/>
      <c r="Q214" s="55"/>
      <c r="R214" s="55"/>
      <c r="S214" s="55"/>
      <c r="U214" s="1">
        <v>15</v>
      </c>
      <c r="V214" s="1">
        <f t="shared" si="15"/>
        <v>160</v>
      </c>
      <c r="W214" s="1">
        <f t="shared" si="16"/>
        <v>132</v>
      </c>
      <c r="X214" s="41">
        <f t="shared" si="9"/>
        <v>144</v>
      </c>
      <c r="Y214" s="55">
        <f t="shared" si="17"/>
        <v>233.05263157894737</v>
      </c>
      <c r="Z214" s="55"/>
      <c r="AA214" s="55"/>
      <c r="AB214" s="1">
        <v>15</v>
      </c>
      <c r="AC214" s="1">
        <f t="shared" si="18"/>
        <v>390</v>
      </c>
      <c r="AD214" s="1">
        <f t="shared" si="19"/>
        <v>180</v>
      </c>
      <c r="AE214" s="41">
        <f t="shared" si="10"/>
        <v>285</v>
      </c>
      <c r="AF214" s="55">
        <f t="shared" si="20"/>
        <v>233.05263157894737</v>
      </c>
      <c r="AG214" s="55" t="e">
        <f>#REF!</f>
        <v>#REF!</v>
      </c>
      <c r="AH214" s="55"/>
      <c r="AI214" s="55"/>
      <c r="AL214" s="1"/>
      <c r="AM214" s="13"/>
      <c r="AN214" s="18"/>
    </row>
    <row r="215" spans="2:40" ht="0.75" customHeight="1">
      <c r="B215" s="1">
        <v>16</v>
      </c>
      <c r="C215" s="13">
        <f t="shared" si="11"/>
        <v>72</v>
      </c>
      <c r="D215" s="1">
        <f t="shared" si="12"/>
        <v>134.4</v>
      </c>
      <c r="E215" s="41">
        <f t="shared" si="4"/>
        <v>106.66666666666667</v>
      </c>
      <c r="F215" s="55">
        <f t="shared" si="5"/>
        <v>183.7837837837838</v>
      </c>
      <c r="G215" s="55">
        <f t="shared" si="6"/>
        <v>198.4864864864865</v>
      </c>
      <c r="H215" s="1">
        <v>16</v>
      </c>
      <c r="I215" s="1">
        <f t="shared" si="13"/>
        <v>416</v>
      </c>
      <c r="J215" s="1">
        <f t="shared" si="14"/>
        <v>125.6</v>
      </c>
      <c r="K215" s="41">
        <f t="shared" si="7"/>
        <v>208.57142857142856</v>
      </c>
      <c r="L215" s="55">
        <f t="shared" si="8"/>
        <v>183.7837837837838</v>
      </c>
      <c r="M215" s="55"/>
      <c r="N215" s="55"/>
      <c r="O215" s="55"/>
      <c r="P215" s="55"/>
      <c r="Q215" s="55"/>
      <c r="R215" s="55"/>
      <c r="S215" s="55"/>
      <c r="U215" s="1">
        <v>16</v>
      </c>
      <c r="V215" s="1">
        <f t="shared" si="15"/>
        <v>152</v>
      </c>
      <c r="W215" s="1">
        <f t="shared" si="16"/>
        <v>138</v>
      </c>
      <c r="X215" s="41">
        <f t="shared" si="9"/>
        <v>144</v>
      </c>
      <c r="Y215" s="55">
        <f t="shared" si="17"/>
        <v>233.05263157894737</v>
      </c>
      <c r="Z215" s="55"/>
      <c r="AA215" s="55"/>
      <c r="AB215" s="1">
        <v>16</v>
      </c>
      <c r="AC215" s="1">
        <f t="shared" si="18"/>
        <v>386</v>
      </c>
      <c r="AD215" s="1">
        <f t="shared" si="19"/>
        <v>184</v>
      </c>
      <c r="AE215" s="41">
        <f t="shared" si="10"/>
        <v>285</v>
      </c>
      <c r="AF215" s="55">
        <f t="shared" si="20"/>
        <v>233.05263157894737</v>
      </c>
      <c r="AG215" s="55" t="e">
        <f>#REF!</f>
        <v>#REF!</v>
      </c>
      <c r="AH215" s="55"/>
      <c r="AI215" s="55"/>
      <c r="AL215" s="1"/>
      <c r="AM215" s="13"/>
      <c r="AN215" s="18"/>
    </row>
    <row r="216" spans="2:40" ht="0.75" customHeight="1">
      <c r="B216" s="1">
        <v>17</v>
      </c>
      <c r="C216" s="13">
        <f t="shared" si="11"/>
        <v>64</v>
      </c>
      <c r="D216" s="1">
        <f t="shared" si="12"/>
        <v>140.8</v>
      </c>
      <c r="E216" s="41">
        <f t="shared" si="4"/>
        <v>106.66666666666667</v>
      </c>
      <c r="F216" s="55">
        <f t="shared" si="5"/>
        <v>183.7837837837838</v>
      </c>
      <c r="G216" s="55">
        <f t="shared" si="6"/>
        <v>198.4864864864865</v>
      </c>
      <c r="H216" s="1">
        <v>17</v>
      </c>
      <c r="I216" s="1">
        <f t="shared" si="13"/>
        <v>412</v>
      </c>
      <c r="J216" s="1">
        <f t="shared" si="14"/>
        <v>127.2</v>
      </c>
      <c r="K216" s="41">
        <f t="shared" si="7"/>
        <v>208.57142857142856</v>
      </c>
      <c r="L216" s="55">
        <f t="shared" si="8"/>
        <v>183.7837837837838</v>
      </c>
      <c r="M216" s="55"/>
      <c r="N216" s="55"/>
      <c r="O216" s="55"/>
      <c r="P216" s="55"/>
      <c r="Q216" s="55"/>
      <c r="R216" s="55"/>
      <c r="S216" s="55"/>
      <c r="U216" s="1">
        <v>17</v>
      </c>
      <c r="V216" s="1">
        <f t="shared" si="15"/>
        <v>144</v>
      </c>
      <c r="W216" s="1">
        <f t="shared" si="16"/>
        <v>144</v>
      </c>
      <c r="X216" s="41">
        <f t="shared" si="9"/>
        <v>144</v>
      </c>
      <c r="Y216" s="55">
        <f t="shared" si="17"/>
        <v>233.05263157894737</v>
      </c>
      <c r="Z216" s="55"/>
      <c r="AA216" s="55"/>
      <c r="AB216" s="1">
        <v>17</v>
      </c>
      <c r="AC216" s="1">
        <f t="shared" si="18"/>
        <v>382</v>
      </c>
      <c r="AD216" s="1">
        <f t="shared" si="19"/>
        <v>188</v>
      </c>
      <c r="AE216" s="41">
        <f t="shared" si="10"/>
        <v>285</v>
      </c>
      <c r="AF216" s="55">
        <f t="shared" si="20"/>
        <v>233.05263157894737</v>
      </c>
      <c r="AG216" s="55" t="e">
        <f>#REF!</f>
        <v>#REF!</v>
      </c>
      <c r="AH216" s="55"/>
      <c r="AI216" s="55"/>
      <c r="AL216" s="1"/>
      <c r="AM216" s="13"/>
      <c r="AN216" s="18"/>
    </row>
    <row r="217" spans="2:40" ht="0.75" customHeight="1">
      <c r="B217" s="1">
        <v>18</v>
      </c>
      <c r="C217" s="13">
        <f t="shared" si="11"/>
        <v>56</v>
      </c>
      <c r="D217" s="1">
        <f t="shared" si="12"/>
        <v>147.2</v>
      </c>
      <c r="E217" s="41">
        <f t="shared" si="4"/>
        <v>106.66666666666667</v>
      </c>
      <c r="F217" s="55">
        <f t="shared" si="5"/>
        <v>183.7837837837838</v>
      </c>
      <c r="G217" s="55">
        <f t="shared" si="6"/>
        <v>198.4864864864865</v>
      </c>
      <c r="H217" s="1">
        <v>18</v>
      </c>
      <c r="I217" s="1">
        <f t="shared" si="13"/>
        <v>408</v>
      </c>
      <c r="J217" s="1">
        <f t="shared" si="14"/>
        <v>128.8</v>
      </c>
      <c r="K217" s="41">
        <f t="shared" si="7"/>
        <v>208.57142857142856</v>
      </c>
      <c r="L217" s="55">
        <f t="shared" si="8"/>
        <v>183.7837837837838</v>
      </c>
      <c r="M217" s="55"/>
      <c r="N217" s="55"/>
      <c r="O217" s="55"/>
      <c r="P217" s="55"/>
      <c r="Q217" s="55"/>
      <c r="R217" s="55"/>
      <c r="S217" s="55"/>
      <c r="U217" s="1">
        <v>18</v>
      </c>
      <c r="V217" s="1">
        <f t="shared" si="15"/>
        <v>136</v>
      </c>
      <c r="W217" s="1">
        <f t="shared" si="16"/>
        <v>150</v>
      </c>
      <c r="X217" s="41">
        <f t="shared" si="9"/>
        <v>144</v>
      </c>
      <c r="Y217" s="55">
        <f t="shared" si="17"/>
        <v>233.05263157894737</v>
      </c>
      <c r="Z217" s="55"/>
      <c r="AA217" s="55"/>
      <c r="AB217" s="1">
        <v>18</v>
      </c>
      <c r="AC217" s="1">
        <f t="shared" si="18"/>
        <v>378</v>
      </c>
      <c r="AD217" s="1">
        <f t="shared" si="19"/>
        <v>192</v>
      </c>
      <c r="AE217" s="41">
        <f t="shared" si="10"/>
        <v>285</v>
      </c>
      <c r="AF217" s="55">
        <f t="shared" si="20"/>
        <v>233.05263157894737</v>
      </c>
      <c r="AG217" s="55" t="e">
        <f>#REF!</f>
        <v>#REF!</v>
      </c>
      <c r="AH217" s="55"/>
      <c r="AI217" s="55"/>
      <c r="AL217" s="1"/>
      <c r="AM217" s="13"/>
      <c r="AN217" s="18"/>
    </row>
    <row r="218" spans="2:40" ht="0.75" customHeight="1">
      <c r="B218" s="1">
        <v>19</v>
      </c>
      <c r="C218" s="13">
        <f t="shared" si="11"/>
        <v>48</v>
      </c>
      <c r="D218" s="1">
        <f t="shared" si="12"/>
        <v>153.60000000000002</v>
      </c>
      <c r="E218" s="41">
        <f t="shared" si="4"/>
        <v>106.66666666666667</v>
      </c>
      <c r="F218" s="55">
        <f t="shared" si="5"/>
        <v>183.7837837837838</v>
      </c>
      <c r="G218" s="55">
        <f t="shared" si="6"/>
        <v>198.4864864864865</v>
      </c>
      <c r="H218" s="1">
        <v>19</v>
      </c>
      <c r="I218" s="1">
        <f t="shared" si="13"/>
        <v>404</v>
      </c>
      <c r="J218" s="1">
        <f t="shared" si="14"/>
        <v>130.4</v>
      </c>
      <c r="K218" s="41">
        <f t="shared" si="7"/>
        <v>208.57142857142856</v>
      </c>
      <c r="L218" s="55">
        <f t="shared" si="8"/>
        <v>183.7837837837838</v>
      </c>
      <c r="M218" s="55"/>
      <c r="N218" s="55"/>
      <c r="O218" s="55"/>
      <c r="P218" s="55"/>
      <c r="Q218" s="55"/>
      <c r="R218" s="55"/>
      <c r="S218" s="55"/>
      <c r="U218" s="1">
        <v>19</v>
      </c>
      <c r="V218" s="1">
        <f t="shared" si="15"/>
        <v>128</v>
      </c>
      <c r="W218" s="1">
        <f t="shared" si="16"/>
        <v>156</v>
      </c>
      <c r="X218" s="41">
        <f t="shared" si="9"/>
        <v>144</v>
      </c>
      <c r="Y218" s="55">
        <f t="shared" si="17"/>
        <v>233.05263157894737</v>
      </c>
      <c r="Z218" s="55"/>
      <c r="AA218" s="55"/>
      <c r="AB218" s="1">
        <v>19</v>
      </c>
      <c r="AC218" s="1">
        <f t="shared" si="18"/>
        <v>374</v>
      </c>
      <c r="AD218" s="1">
        <f t="shared" si="19"/>
        <v>196</v>
      </c>
      <c r="AE218" s="41">
        <f t="shared" si="10"/>
        <v>285</v>
      </c>
      <c r="AF218" s="55">
        <f t="shared" si="20"/>
        <v>233.05263157894737</v>
      </c>
      <c r="AG218" s="55" t="e">
        <f>#REF!</f>
        <v>#REF!</v>
      </c>
      <c r="AH218" s="55"/>
      <c r="AI218" s="55"/>
      <c r="AL218" s="1"/>
      <c r="AM218" s="13"/>
      <c r="AN218" s="18"/>
    </row>
    <row r="219" spans="2:40" ht="0.75" customHeight="1">
      <c r="B219" s="1">
        <v>20</v>
      </c>
      <c r="C219" s="13">
        <f t="shared" si="11"/>
        <v>40</v>
      </c>
      <c r="D219" s="1">
        <f t="shared" si="12"/>
        <v>160</v>
      </c>
      <c r="E219" s="41">
        <f t="shared" si="4"/>
        <v>106.66666666666667</v>
      </c>
      <c r="F219" s="55">
        <f t="shared" si="5"/>
        <v>183.7837837837838</v>
      </c>
      <c r="G219" s="55">
        <f t="shared" si="6"/>
        <v>198.4864864864865</v>
      </c>
      <c r="H219" s="1">
        <v>20</v>
      </c>
      <c r="I219" s="1">
        <f t="shared" si="13"/>
        <v>400</v>
      </c>
      <c r="J219" s="1">
        <f t="shared" si="14"/>
        <v>132</v>
      </c>
      <c r="K219" s="41">
        <f t="shared" si="7"/>
        <v>208.57142857142856</v>
      </c>
      <c r="L219" s="55">
        <f t="shared" si="8"/>
        <v>183.7837837837838</v>
      </c>
      <c r="M219" s="55"/>
      <c r="N219" s="55"/>
      <c r="O219" s="55"/>
      <c r="P219" s="55"/>
      <c r="Q219" s="55"/>
      <c r="R219" s="55"/>
      <c r="S219" s="55"/>
      <c r="U219" s="1">
        <v>20</v>
      </c>
      <c r="V219" s="1">
        <f t="shared" si="15"/>
        <v>120</v>
      </c>
      <c r="W219" s="1">
        <f t="shared" si="16"/>
        <v>162</v>
      </c>
      <c r="X219" s="41">
        <f t="shared" si="9"/>
        <v>144</v>
      </c>
      <c r="Y219" s="55">
        <f t="shared" si="17"/>
        <v>233.05263157894737</v>
      </c>
      <c r="Z219" s="55"/>
      <c r="AA219" s="55"/>
      <c r="AB219" s="1">
        <v>20</v>
      </c>
      <c r="AC219" s="1">
        <f t="shared" si="18"/>
        <v>370</v>
      </c>
      <c r="AD219" s="1">
        <f t="shared" si="19"/>
        <v>200</v>
      </c>
      <c r="AE219" s="41">
        <f t="shared" si="10"/>
        <v>285</v>
      </c>
      <c r="AF219" s="55">
        <f t="shared" si="20"/>
        <v>233.05263157894737</v>
      </c>
      <c r="AG219" s="55" t="e">
        <f>#REF!</f>
        <v>#REF!</v>
      </c>
      <c r="AH219" s="55"/>
      <c r="AI219" s="55"/>
      <c r="AL219" s="1"/>
      <c r="AM219" s="13"/>
      <c r="AN219" s="18"/>
    </row>
    <row r="220" spans="2:40" ht="0.75" customHeight="1">
      <c r="B220" s="1">
        <v>21</v>
      </c>
      <c r="C220" s="13">
        <f t="shared" si="11"/>
        <v>32</v>
      </c>
      <c r="D220" s="1">
        <f t="shared" si="12"/>
        <v>166.4</v>
      </c>
      <c r="E220" s="41">
        <f t="shared" si="4"/>
        <v>106.66666666666667</v>
      </c>
      <c r="F220" s="55">
        <f t="shared" si="5"/>
        <v>183.7837837837838</v>
      </c>
      <c r="G220" s="55">
        <f t="shared" si="6"/>
        <v>198.4864864864865</v>
      </c>
      <c r="H220" s="1">
        <v>21</v>
      </c>
      <c r="I220" s="1">
        <f t="shared" si="13"/>
        <v>396</v>
      </c>
      <c r="J220" s="1">
        <f t="shared" si="14"/>
        <v>133.6</v>
      </c>
      <c r="K220" s="41">
        <f t="shared" si="7"/>
        <v>208.57142857142856</v>
      </c>
      <c r="L220" s="55">
        <f t="shared" si="8"/>
        <v>183.7837837837838</v>
      </c>
      <c r="M220" s="55"/>
      <c r="N220" s="55"/>
      <c r="O220" s="55"/>
      <c r="P220" s="55"/>
      <c r="Q220" s="55"/>
      <c r="R220" s="55"/>
      <c r="S220" s="55"/>
      <c r="U220" s="1">
        <v>21</v>
      </c>
      <c r="V220" s="1">
        <f t="shared" si="15"/>
        <v>112</v>
      </c>
      <c r="W220" s="1">
        <f t="shared" si="16"/>
        <v>168</v>
      </c>
      <c r="X220" s="41">
        <f t="shared" si="9"/>
        <v>144</v>
      </c>
      <c r="Y220" s="55">
        <f t="shared" si="17"/>
        <v>233.05263157894737</v>
      </c>
      <c r="Z220" s="55"/>
      <c r="AA220" s="55"/>
      <c r="AB220" s="1">
        <v>21</v>
      </c>
      <c r="AC220" s="1">
        <f t="shared" si="18"/>
        <v>366</v>
      </c>
      <c r="AD220" s="1">
        <f t="shared" si="19"/>
        <v>204</v>
      </c>
      <c r="AE220" s="41">
        <f t="shared" si="10"/>
        <v>285</v>
      </c>
      <c r="AF220" s="55">
        <f t="shared" si="20"/>
        <v>233.05263157894737</v>
      </c>
      <c r="AG220" s="55" t="e">
        <f>#REF!</f>
        <v>#REF!</v>
      </c>
      <c r="AH220" s="55"/>
      <c r="AI220" s="55"/>
      <c r="AL220" s="1"/>
      <c r="AM220" s="13"/>
      <c r="AN220" s="18"/>
    </row>
    <row r="221" spans="2:40" ht="0.75" customHeight="1">
      <c r="B221" s="1">
        <v>22</v>
      </c>
      <c r="C221" s="13">
        <f t="shared" si="11"/>
        <v>24</v>
      </c>
      <c r="D221" s="1">
        <f t="shared" si="12"/>
        <v>172.8</v>
      </c>
      <c r="E221" s="41">
        <f t="shared" si="4"/>
        <v>106.66666666666667</v>
      </c>
      <c r="F221" s="55">
        <f t="shared" si="5"/>
        <v>183.7837837837838</v>
      </c>
      <c r="G221" s="55">
        <f t="shared" si="6"/>
        <v>198.4864864864865</v>
      </c>
      <c r="H221" s="1">
        <v>22</v>
      </c>
      <c r="I221" s="1">
        <f t="shared" si="13"/>
        <v>392</v>
      </c>
      <c r="J221" s="1">
        <f t="shared" si="14"/>
        <v>135.2</v>
      </c>
      <c r="K221" s="41">
        <f t="shared" si="7"/>
        <v>208.57142857142856</v>
      </c>
      <c r="L221" s="55">
        <f t="shared" si="8"/>
        <v>183.7837837837838</v>
      </c>
      <c r="M221" s="55"/>
      <c r="N221" s="55"/>
      <c r="O221" s="55"/>
      <c r="P221" s="55"/>
      <c r="Q221" s="55"/>
      <c r="R221" s="55"/>
      <c r="S221" s="55"/>
      <c r="U221" s="1">
        <v>22</v>
      </c>
      <c r="V221" s="1">
        <f t="shared" si="15"/>
        <v>104</v>
      </c>
      <c r="W221" s="1">
        <f t="shared" si="16"/>
        <v>174</v>
      </c>
      <c r="X221" s="41">
        <f t="shared" si="9"/>
        <v>144</v>
      </c>
      <c r="Y221" s="55">
        <f t="shared" si="17"/>
        <v>233.05263157894737</v>
      </c>
      <c r="Z221" s="55"/>
      <c r="AA221" s="55"/>
      <c r="AB221" s="1">
        <v>22</v>
      </c>
      <c r="AC221" s="1">
        <f t="shared" si="18"/>
        <v>362</v>
      </c>
      <c r="AD221" s="1">
        <f t="shared" si="19"/>
        <v>208</v>
      </c>
      <c r="AE221" s="41">
        <f t="shared" si="10"/>
        <v>285</v>
      </c>
      <c r="AF221" s="55">
        <f t="shared" si="20"/>
        <v>233.05263157894737</v>
      </c>
      <c r="AG221" s="55" t="e">
        <f>#REF!</f>
        <v>#REF!</v>
      </c>
      <c r="AH221" s="55"/>
      <c r="AI221" s="55"/>
      <c r="AL221" s="1"/>
      <c r="AM221" s="13"/>
      <c r="AN221" s="18"/>
    </row>
    <row r="222" spans="2:40" ht="0.75" customHeight="1">
      <c r="B222" s="1">
        <v>23</v>
      </c>
      <c r="C222" s="13">
        <f t="shared" si="11"/>
        <v>16</v>
      </c>
      <c r="D222" s="1">
        <f t="shared" si="12"/>
        <v>179.20000000000002</v>
      </c>
      <c r="E222" s="41">
        <f t="shared" si="4"/>
        <v>106.66666666666667</v>
      </c>
      <c r="F222" s="55">
        <f t="shared" si="5"/>
        <v>183.7837837837838</v>
      </c>
      <c r="G222" s="55">
        <f t="shared" si="6"/>
        <v>198.4864864864865</v>
      </c>
      <c r="H222" s="1">
        <v>23</v>
      </c>
      <c r="I222" s="1">
        <f t="shared" si="13"/>
        <v>388</v>
      </c>
      <c r="J222" s="1">
        <f t="shared" si="14"/>
        <v>136.8</v>
      </c>
      <c r="K222" s="41">
        <f t="shared" si="7"/>
        <v>208.57142857142856</v>
      </c>
      <c r="L222" s="55">
        <f t="shared" si="8"/>
        <v>183.7837837837838</v>
      </c>
      <c r="M222" s="55"/>
      <c r="N222" s="55"/>
      <c r="O222" s="55"/>
      <c r="P222" s="55"/>
      <c r="Q222" s="55"/>
      <c r="R222" s="55"/>
      <c r="S222" s="55"/>
      <c r="U222" s="1">
        <v>23</v>
      </c>
      <c r="V222" s="1">
        <f t="shared" si="15"/>
        <v>96</v>
      </c>
      <c r="W222" s="1">
        <f t="shared" si="16"/>
        <v>180</v>
      </c>
      <c r="X222" s="41">
        <f t="shared" si="9"/>
        <v>144</v>
      </c>
      <c r="Y222" s="55">
        <f t="shared" si="17"/>
        <v>233.05263157894737</v>
      </c>
      <c r="Z222" s="55"/>
      <c r="AA222" s="55"/>
      <c r="AB222" s="1">
        <v>23</v>
      </c>
      <c r="AC222" s="1">
        <f t="shared" si="18"/>
        <v>358</v>
      </c>
      <c r="AD222" s="1">
        <f t="shared" si="19"/>
        <v>212</v>
      </c>
      <c r="AE222" s="41">
        <f t="shared" si="10"/>
        <v>285</v>
      </c>
      <c r="AF222" s="55">
        <f t="shared" si="20"/>
        <v>233.05263157894737</v>
      </c>
      <c r="AG222" s="55" t="e">
        <f>#REF!</f>
        <v>#REF!</v>
      </c>
      <c r="AH222" s="55"/>
      <c r="AI222" s="55"/>
      <c r="AL222" s="1"/>
      <c r="AM222" s="13"/>
      <c r="AN222" s="18"/>
    </row>
    <row r="223" spans="2:40" ht="0.75" customHeight="1">
      <c r="B223" s="1">
        <v>24</v>
      </c>
      <c r="C223" s="13">
        <f t="shared" si="11"/>
        <v>8</v>
      </c>
      <c r="D223" s="1">
        <f t="shared" si="12"/>
        <v>185.60000000000002</v>
      </c>
      <c r="E223" s="41">
        <f t="shared" si="4"/>
        <v>106.66666666666667</v>
      </c>
      <c r="F223" s="55">
        <f t="shared" si="5"/>
        <v>183.7837837837838</v>
      </c>
      <c r="G223" s="55">
        <f t="shared" si="6"/>
        <v>198.4864864864865</v>
      </c>
      <c r="H223" s="1">
        <v>24</v>
      </c>
      <c r="I223" s="1">
        <f t="shared" si="13"/>
        <v>384</v>
      </c>
      <c r="J223" s="1">
        <f t="shared" si="14"/>
        <v>138.4</v>
      </c>
      <c r="K223" s="41">
        <f t="shared" si="7"/>
        <v>208.57142857142856</v>
      </c>
      <c r="L223" s="55">
        <f t="shared" si="8"/>
        <v>183.7837837837838</v>
      </c>
      <c r="M223" s="55"/>
      <c r="N223" s="55"/>
      <c r="O223" s="55"/>
      <c r="P223" s="55"/>
      <c r="Q223" s="55"/>
      <c r="R223" s="55"/>
      <c r="S223" s="55"/>
      <c r="U223" s="1">
        <v>24</v>
      </c>
      <c r="V223" s="1">
        <f t="shared" si="15"/>
        <v>88</v>
      </c>
      <c r="W223" s="1">
        <f t="shared" si="16"/>
        <v>186</v>
      </c>
      <c r="X223" s="41">
        <f t="shared" si="9"/>
        <v>144</v>
      </c>
      <c r="Y223" s="55">
        <f t="shared" si="17"/>
        <v>233.05263157894737</v>
      </c>
      <c r="Z223" s="55"/>
      <c r="AA223" s="55"/>
      <c r="AB223" s="1">
        <v>24</v>
      </c>
      <c r="AC223" s="1">
        <f t="shared" si="18"/>
        <v>354</v>
      </c>
      <c r="AD223" s="1">
        <f t="shared" si="19"/>
        <v>216</v>
      </c>
      <c r="AE223" s="41">
        <f t="shared" si="10"/>
        <v>285</v>
      </c>
      <c r="AF223" s="55">
        <f t="shared" si="20"/>
        <v>233.05263157894737</v>
      </c>
      <c r="AG223" s="55" t="e">
        <f>#REF!</f>
        <v>#REF!</v>
      </c>
      <c r="AH223" s="55"/>
      <c r="AI223" s="55"/>
      <c r="AL223" s="1"/>
      <c r="AM223" s="13"/>
      <c r="AN223" s="18"/>
    </row>
    <row r="224" spans="2:40" ht="0.75" customHeight="1">
      <c r="B224" s="1">
        <v>25</v>
      </c>
      <c r="C224" s="13">
        <f t="shared" si="11"/>
        <v>0</v>
      </c>
      <c r="D224" s="1">
        <f t="shared" si="12"/>
        <v>192</v>
      </c>
      <c r="E224" s="41">
        <f t="shared" si="4"/>
        <v>106.66666666666667</v>
      </c>
      <c r="F224" s="55">
        <f t="shared" si="5"/>
        <v>183.7837837837838</v>
      </c>
      <c r="G224" s="55">
        <f t="shared" si="6"/>
        <v>198.4864864864865</v>
      </c>
      <c r="H224" s="1">
        <v>25</v>
      </c>
      <c r="I224" s="1">
        <f t="shared" si="13"/>
        <v>380</v>
      </c>
      <c r="J224" s="1">
        <f t="shared" si="14"/>
        <v>140</v>
      </c>
      <c r="K224" s="41">
        <f t="shared" si="7"/>
        <v>208.57142857142856</v>
      </c>
      <c r="L224" s="55">
        <f t="shared" si="8"/>
        <v>183.7837837837838</v>
      </c>
      <c r="M224" s="55"/>
      <c r="N224" s="55"/>
      <c r="O224" s="55"/>
      <c r="P224" s="55"/>
      <c r="Q224" s="55"/>
      <c r="R224" s="55"/>
      <c r="S224" s="55"/>
      <c r="U224" s="1">
        <v>25</v>
      </c>
      <c r="V224" s="1">
        <f t="shared" si="15"/>
        <v>80</v>
      </c>
      <c r="W224" s="1">
        <f t="shared" si="16"/>
        <v>192</v>
      </c>
      <c r="X224" s="41">
        <f t="shared" si="9"/>
        <v>144</v>
      </c>
      <c r="Y224" s="55">
        <f t="shared" si="17"/>
        <v>233.05263157894737</v>
      </c>
      <c r="Z224" s="55"/>
      <c r="AA224" s="55"/>
      <c r="AB224" s="1">
        <v>25</v>
      </c>
      <c r="AC224" s="1">
        <f t="shared" si="18"/>
        <v>350</v>
      </c>
      <c r="AD224" s="1">
        <f t="shared" si="19"/>
        <v>220</v>
      </c>
      <c r="AE224" s="41">
        <f t="shared" si="10"/>
        <v>285</v>
      </c>
      <c r="AF224" s="55">
        <f t="shared" si="20"/>
        <v>233.05263157894737</v>
      </c>
      <c r="AG224" s="55" t="e">
        <f>#REF!</f>
        <v>#REF!</v>
      </c>
      <c r="AH224" s="55"/>
      <c r="AI224" s="55"/>
      <c r="AL224" s="1"/>
      <c r="AM224" s="13"/>
      <c r="AN224" s="18"/>
    </row>
    <row r="225" spans="2:40" ht="0.75" customHeight="1">
      <c r="B225" s="1">
        <v>26</v>
      </c>
      <c r="C225" s="13">
        <f t="shared" si="11"/>
        <v>0</v>
      </c>
      <c r="D225" s="1">
        <f t="shared" si="12"/>
        <v>198.4</v>
      </c>
      <c r="E225" s="41">
        <f t="shared" si="4"/>
        <v>106.66666666666667</v>
      </c>
      <c r="F225" s="55">
        <f t="shared" si="5"/>
        <v>183.7837837837838</v>
      </c>
      <c r="G225" s="55">
        <f t="shared" si="6"/>
        <v>198.4864864864865</v>
      </c>
      <c r="H225" s="1">
        <v>26</v>
      </c>
      <c r="I225" s="1">
        <f t="shared" si="13"/>
        <v>376</v>
      </c>
      <c r="J225" s="1">
        <f t="shared" si="14"/>
        <v>141.6</v>
      </c>
      <c r="K225" s="41">
        <f t="shared" si="7"/>
        <v>208.57142857142856</v>
      </c>
      <c r="L225" s="55">
        <f t="shared" si="8"/>
        <v>183.7837837837838</v>
      </c>
      <c r="M225" s="55"/>
      <c r="N225" s="55"/>
      <c r="O225" s="55"/>
      <c r="P225" s="55"/>
      <c r="Q225" s="55"/>
      <c r="R225" s="55"/>
      <c r="S225" s="55"/>
      <c r="U225" s="1">
        <v>26</v>
      </c>
      <c r="V225" s="1">
        <f t="shared" si="15"/>
        <v>72</v>
      </c>
      <c r="W225" s="1">
        <f t="shared" si="16"/>
        <v>198</v>
      </c>
      <c r="X225" s="41">
        <f t="shared" si="9"/>
        <v>144</v>
      </c>
      <c r="Y225" s="55">
        <f t="shared" si="17"/>
        <v>233.05263157894737</v>
      </c>
      <c r="Z225" s="55"/>
      <c r="AA225" s="55"/>
      <c r="AB225" s="1">
        <v>26</v>
      </c>
      <c r="AC225" s="1">
        <f t="shared" si="18"/>
        <v>346</v>
      </c>
      <c r="AD225" s="1">
        <f t="shared" si="19"/>
        <v>224</v>
      </c>
      <c r="AE225" s="41">
        <f t="shared" si="10"/>
        <v>285</v>
      </c>
      <c r="AF225" s="55">
        <f t="shared" si="20"/>
        <v>233.05263157894737</v>
      </c>
      <c r="AG225" s="55" t="e">
        <f>#REF!</f>
        <v>#REF!</v>
      </c>
      <c r="AH225" s="55"/>
      <c r="AI225" s="55"/>
      <c r="AL225" s="1"/>
      <c r="AM225" s="13"/>
      <c r="AN225" s="18"/>
    </row>
    <row r="226" spans="2:40" ht="0.75" customHeight="1">
      <c r="B226" s="1">
        <v>27</v>
      </c>
      <c r="C226" s="13">
        <f t="shared" si="11"/>
        <v>0</v>
      </c>
      <c r="D226" s="1">
        <f t="shared" si="12"/>
        <v>204.8</v>
      </c>
      <c r="E226" s="41">
        <f t="shared" si="4"/>
        <v>106.66666666666667</v>
      </c>
      <c r="F226" s="55">
        <f t="shared" si="5"/>
        <v>183.7837837837838</v>
      </c>
      <c r="G226" s="55">
        <f t="shared" si="6"/>
        <v>198.4864864864865</v>
      </c>
      <c r="H226" s="1">
        <v>27</v>
      </c>
      <c r="I226" s="1">
        <f t="shared" si="13"/>
        <v>372</v>
      </c>
      <c r="J226" s="1">
        <f t="shared" si="14"/>
        <v>143.2</v>
      </c>
      <c r="K226" s="41">
        <f t="shared" si="7"/>
        <v>208.57142857142856</v>
      </c>
      <c r="L226" s="55">
        <f t="shared" si="8"/>
        <v>183.7837837837838</v>
      </c>
      <c r="M226" s="55"/>
      <c r="N226" s="55"/>
      <c r="O226" s="55"/>
      <c r="P226" s="55"/>
      <c r="Q226" s="55"/>
      <c r="R226" s="55"/>
      <c r="S226" s="55"/>
      <c r="U226" s="1">
        <v>27</v>
      </c>
      <c r="V226" s="1">
        <f t="shared" si="15"/>
        <v>64</v>
      </c>
      <c r="W226" s="1">
        <f t="shared" si="16"/>
        <v>204</v>
      </c>
      <c r="X226" s="41">
        <f t="shared" si="9"/>
        <v>144</v>
      </c>
      <c r="Y226" s="55">
        <f t="shared" si="17"/>
        <v>233.05263157894737</v>
      </c>
      <c r="Z226" s="55"/>
      <c r="AA226" s="55"/>
      <c r="AB226" s="1">
        <v>27</v>
      </c>
      <c r="AC226" s="1">
        <f t="shared" si="18"/>
        <v>342</v>
      </c>
      <c r="AD226" s="1">
        <f t="shared" si="19"/>
        <v>228</v>
      </c>
      <c r="AE226" s="41">
        <f t="shared" si="10"/>
        <v>285</v>
      </c>
      <c r="AF226" s="55">
        <f t="shared" si="20"/>
        <v>233.05263157894737</v>
      </c>
      <c r="AG226" s="55" t="e">
        <f>#REF!</f>
        <v>#REF!</v>
      </c>
      <c r="AH226" s="55"/>
      <c r="AI226" s="55"/>
      <c r="AL226" s="1"/>
      <c r="AM226" s="13"/>
      <c r="AN226" s="18"/>
    </row>
    <row r="227" spans="2:40" ht="0.75" customHeight="1">
      <c r="B227" s="1">
        <v>28</v>
      </c>
      <c r="C227" s="13">
        <f t="shared" si="11"/>
        <v>0</v>
      </c>
      <c r="D227" s="1">
        <f t="shared" si="12"/>
        <v>211.20000000000002</v>
      </c>
      <c r="E227" s="41">
        <f t="shared" si="4"/>
        <v>106.66666666666667</v>
      </c>
      <c r="F227" s="55">
        <f t="shared" si="5"/>
        <v>183.7837837837838</v>
      </c>
      <c r="G227" s="55">
        <f t="shared" si="6"/>
        <v>198.4864864864865</v>
      </c>
      <c r="H227" s="1">
        <v>28</v>
      </c>
      <c r="I227" s="1">
        <f t="shared" si="13"/>
        <v>368</v>
      </c>
      <c r="J227" s="1">
        <f t="shared" si="14"/>
        <v>144.8</v>
      </c>
      <c r="K227" s="41">
        <f t="shared" si="7"/>
        <v>208.57142857142856</v>
      </c>
      <c r="L227" s="55">
        <f t="shared" si="8"/>
        <v>183.7837837837838</v>
      </c>
      <c r="M227" s="55"/>
      <c r="N227" s="55"/>
      <c r="O227" s="55"/>
      <c r="P227" s="55"/>
      <c r="Q227" s="55"/>
      <c r="R227" s="55"/>
      <c r="S227" s="55"/>
      <c r="U227" s="1">
        <v>28</v>
      </c>
      <c r="V227" s="1">
        <f t="shared" si="15"/>
        <v>56</v>
      </c>
      <c r="W227" s="1">
        <f t="shared" si="16"/>
        <v>210</v>
      </c>
      <c r="X227" s="41">
        <f t="shared" si="9"/>
        <v>144</v>
      </c>
      <c r="Y227" s="55">
        <f t="shared" si="17"/>
        <v>233.05263157894737</v>
      </c>
      <c r="Z227" s="55"/>
      <c r="AA227" s="55"/>
      <c r="AB227" s="1">
        <v>28</v>
      </c>
      <c r="AC227" s="1">
        <f t="shared" si="18"/>
        <v>338</v>
      </c>
      <c r="AD227" s="1">
        <f t="shared" si="19"/>
        <v>232</v>
      </c>
      <c r="AE227" s="41">
        <f t="shared" si="10"/>
        <v>285</v>
      </c>
      <c r="AF227" s="55">
        <f t="shared" si="20"/>
        <v>233.05263157894737</v>
      </c>
      <c r="AG227" s="55" t="e">
        <f>#REF!</f>
        <v>#REF!</v>
      </c>
      <c r="AH227" s="55"/>
      <c r="AI227" s="55"/>
      <c r="AL227" s="1"/>
      <c r="AM227" s="13"/>
      <c r="AN227" s="18"/>
    </row>
    <row r="228" spans="2:40" ht="0.75" customHeight="1">
      <c r="B228" s="1">
        <v>29</v>
      </c>
      <c r="C228" s="13">
        <f t="shared" si="11"/>
        <v>0</v>
      </c>
      <c r="D228" s="1">
        <f t="shared" si="12"/>
        <v>217.60000000000002</v>
      </c>
      <c r="E228" s="41">
        <f t="shared" si="4"/>
        <v>106.66666666666667</v>
      </c>
      <c r="F228" s="55">
        <f t="shared" si="5"/>
        <v>183.7837837837838</v>
      </c>
      <c r="G228" s="55">
        <f t="shared" si="6"/>
        <v>198.4864864864865</v>
      </c>
      <c r="H228" s="1">
        <v>29</v>
      </c>
      <c r="I228" s="1">
        <f t="shared" si="13"/>
        <v>364</v>
      </c>
      <c r="J228" s="1">
        <f t="shared" si="14"/>
        <v>146.4</v>
      </c>
      <c r="K228" s="41">
        <f t="shared" si="7"/>
        <v>208.57142857142856</v>
      </c>
      <c r="L228" s="55">
        <f t="shared" si="8"/>
        <v>183.7837837837838</v>
      </c>
      <c r="M228" s="55"/>
      <c r="N228" s="55"/>
      <c r="O228" s="55"/>
      <c r="P228" s="55"/>
      <c r="Q228" s="55"/>
      <c r="R228" s="55"/>
      <c r="S228" s="55"/>
      <c r="U228" s="1">
        <v>29</v>
      </c>
      <c r="V228" s="1">
        <f t="shared" si="15"/>
        <v>48</v>
      </c>
      <c r="W228" s="1">
        <f t="shared" si="16"/>
        <v>216</v>
      </c>
      <c r="X228" s="41">
        <f t="shared" si="9"/>
        <v>144</v>
      </c>
      <c r="Y228" s="55">
        <f t="shared" si="17"/>
        <v>233.05263157894737</v>
      </c>
      <c r="Z228" s="55"/>
      <c r="AA228" s="55"/>
      <c r="AB228" s="1">
        <v>29</v>
      </c>
      <c r="AC228" s="1">
        <f t="shared" si="18"/>
        <v>334</v>
      </c>
      <c r="AD228" s="1">
        <f t="shared" si="19"/>
        <v>236</v>
      </c>
      <c r="AE228" s="41">
        <f t="shared" si="10"/>
        <v>285</v>
      </c>
      <c r="AF228" s="55">
        <f t="shared" si="20"/>
        <v>233.05263157894737</v>
      </c>
      <c r="AG228" s="55" t="e">
        <f>#REF!</f>
        <v>#REF!</v>
      </c>
      <c r="AH228" s="55"/>
      <c r="AI228" s="55"/>
      <c r="AL228" s="1"/>
      <c r="AM228" s="13"/>
      <c r="AN228" s="18"/>
    </row>
    <row r="229" spans="2:40" ht="0.75" customHeight="1">
      <c r="B229" s="1">
        <v>30</v>
      </c>
      <c r="C229" s="13">
        <f t="shared" si="11"/>
        <v>0</v>
      </c>
      <c r="D229" s="1">
        <f t="shared" si="12"/>
        <v>224</v>
      </c>
      <c r="E229" s="41">
        <f t="shared" si="4"/>
        <v>106.66666666666667</v>
      </c>
      <c r="F229" s="55">
        <f t="shared" si="5"/>
        <v>183.7837837837838</v>
      </c>
      <c r="G229" s="55">
        <f t="shared" si="6"/>
        <v>198.4864864864865</v>
      </c>
      <c r="H229" s="1">
        <v>30</v>
      </c>
      <c r="I229" s="1">
        <f t="shared" si="13"/>
        <v>360</v>
      </c>
      <c r="J229" s="1">
        <f t="shared" si="14"/>
        <v>148</v>
      </c>
      <c r="K229" s="41">
        <f t="shared" si="7"/>
        <v>208.57142857142856</v>
      </c>
      <c r="L229" s="55">
        <f t="shared" si="8"/>
        <v>183.7837837837838</v>
      </c>
      <c r="M229" s="55"/>
      <c r="N229" s="55"/>
      <c r="O229" s="55"/>
      <c r="P229" s="55"/>
      <c r="Q229" s="55"/>
      <c r="R229" s="55"/>
      <c r="S229" s="55"/>
      <c r="U229" s="1">
        <v>30</v>
      </c>
      <c r="V229" s="1">
        <f t="shared" si="15"/>
        <v>40</v>
      </c>
      <c r="W229" s="1">
        <f t="shared" si="16"/>
        <v>222</v>
      </c>
      <c r="X229" s="41">
        <f t="shared" si="9"/>
        <v>144</v>
      </c>
      <c r="Y229" s="55">
        <f t="shared" si="17"/>
        <v>233.05263157894737</v>
      </c>
      <c r="Z229" s="55"/>
      <c r="AA229" s="55"/>
      <c r="AB229" s="1">
        <v>30</v>
      </c>
      <c r="AC229" s="1">
        <f t="shared" si="18"/>
        <v>330</v>
      </c>
      <c r="AD229" s="1">
        <f t="shared" si="19"/>
        <v>240</v>
      </c>
      <c r="AE229" s="41">
        <f t="shared" si="10"/>
        <v>285</v>
      </c>
      <c r="AF229" s="55">
        <f t="shared" si="20"/>
        <v>233.05263157894737</v>
      </c>
      <c r="AG229" s="55" t="e">
        <f>#REF!</f>
        <v>#REF!</v>
      </c>
      <c r="AH229" s="55"/>
      <c r="AI229" s="55"/>
      <c r="AL229" s="1"/>
      <c r="AM229" s="13"/>
      <c r="AN229" s="18"/>
    </row>
    <row r="230" spans="2:40" ht="0.75" customHeight="1">
      <c r="B230" s="1">
        <v>31</v>
      </c>
      <c r="C230" s="13">
        <f t="shared" si="11"/>
        <v>0</v>
      </c>
      <c r="D230" s="1">
        <f t="shared" si="12"/>
        <v>230.4</v>
      </c>
      <c r="E230" s="41">
        <f t="shared" si="4"/>
        <v>106.66666666666667</v>
      </c>
      <c r="F230" s="55">
        <f t="shared" si="5"/>
        <v>183.7837837837838</v>
      </c>
      <c r="G230" s="55">
        <f t="shared" si="6"/>
        <v>198.4864864864865</v>
      </c>
      <c r="H230" s="1">
        <v>31</v>
      </c>
      <c r="I230" s="1">
        <f t="shared" si="13"/>
        <v>356</v>
      </c>
      <c r="J230" s="1">
        <f t="shared" si="14"/>
        <v>149.6</v>
      </c>
      <c r="K230" s="41">
        <f t="shared" si="7"/>
        <v>208.57142857142856</v>
      </c>
      <c r="L230" s="55">
        <f t="shared" si="8"/>
        <v>183.7837837837838</v>
      </c>
      <c r="M230" s="55"/>
      <c r="N230" s="55"/>
      <c r="O230" s="55"/>
      <c r="P230" s="55"/>
      <c r="Q230" s="55"/>
      <c r="R230" s="55"/>
      <c r="S230" s="55"/>
      <c r="U230" s="1">
        <v>31</v>
      </c>
      <c r="V230" s="1">
        <f t="shared" si="15"/>
        <v>32</v>
      </c>
      <c r="W230" s="1">
        <f t="shared" si="16"/>
        <v>228</v>
      </c>
      <c r="X230" s="41">
        <f t="shared" si="9"/>
        <v>144</v>
      </c>
      <c r="Y230" s="55">
        <f t="shared" si="17"/>
        <v>233.05263157894737</v>
      </c>
      <c r="Z230" s="55"/>
      <c r="AA230" s="55"/>
      <c r="AB230" s="1">
        <v>31</v>
      </c>
      <c r="AC230" s="1">
        <f t="shared" si="18"/>
        <v>326</v>
      </c>
      <c r="AD230" s="1">
        <f t="shared" si="19"/>
        <v>244</v>
      </c>
      <c r="AE230" s="41">
        <f t="shared" si="10"/>
        <v>285</v>
      </c>
      <c r="AF230" s="55">
        <f t="shared" si="20"/>
        <v>233.05263157894737</v>
      </c>
      <c r="AG230" s="55" t="e">
        <f>#REF!</f>
        <v>#REF!</v>
      </c>
      <c r="AH230" s="55"/>
      <c r="AI230" s="55"/>
      <c r="AL230" s="1"/>
      <c r="AM230" s="13"/>
      <c r="AN230" s="18"/>
    </row>
    <row r="231" spans="2:40" ht="0.75" customHeight="1">
      <c r="B231" s="1">
        <v>32</v>
      </c>
      <c r="C231" s="13">
        <f t="shared" si="11"/>
        <v>0</v>
      </c>
      <c r="D231" s="1">
        <f t="shared" si="12"/>
        <v>236.8</v>
      </c>
      <c r="E231" s="41">
        <f aca="true" t="shared" si="21" ref="E231:E262">$E$111</f>
        <v>106.66666666666667</v>
      </c>
      <c r="F231" s="55">
        <f aca="true" t="shared" si="22" ref="F231:F262">$F$123</f>
        <v>183.7837837837838</v>
      </c>
      <c r="G231" s="55">
        <f aca="true" t="shared" si="23" ref="G231:G262">$H$150</f>
        <v>198.4864864864865</v>
      </c>
      <c r="H231" s="1">
        <v>32</v>
      </c>
      <c r="I231" s="1">
        <f t="shared" si="13"/>
        <v>352</v>
      </c>
      <c r="J231" s="1">
        <f t="shared" si="14"/>
        <v>151.2</v>
      </c>
      <c r="K231" s="41">
        <f aca="true" t="shared" si="24" ref="K231:K262">$F$111</f>
        <v>208.57142857142856</v>
      </c>
      <c r="L231" s="55">
        <f aca="true" t="shared" si="25" ref="L231:L262">$F$123</f>
        <v>183.7837837837838</v>
      </c>
      <c r="M231" s="55"/>
      <c r="N231" s="55"/>
      <c r="O231" s="55"/>
      <c r="P231" s="55"/>
      <c r="Q231" s="55"/>
      <c r="R231" s="55"/>
      <c r="S231" s="55"/>
      <c r="U231" s="1">
        <v>32</v>
      </c>
      <c r="V231" s="1">
        <f t="shared" si="15"/>
        <v>24</v>
      </c>
      <c r="W231" s="1">
        <f t="shared" si="16"/>
        <v>234</v>
      </c>
      <c r="X231" s="41">
        <f aca="true" t="shared" si="26" ref="X231:X262">$W$111</f>
        <v>144</v>
      </c>
      <c r="Y231" s="55">
        <f t="shared" si="17"/>
        <v>233.05263157894737</v>
      </c>
      <c r="Z231" s="55"/>
      <c r="AA231" s="55"/>
      <c r="AB231" s="1">
        <v>32</v>
      </c>
      <c r="AC231" s="1">
        <f t="shared" si="18"/>
        <v>322</v>
      </c>
      <c r="AD231" s="1">
        <f t="shared" si="19"/>
        <v>248</v>
      </c>
      <c r="AE231" s="41">
        <f aca="true" t="shared" si="27" ref="AE231:AE262">$X$111</f>
        <v>285</v>
      </c>
      <c r="AF231" s="55">
        <f t="shared" si="20"/>
        <v>233.05263157894737</v>
      </c>
      <c r="AG231" s="55" t="e">
        <f>#REF!</f>
        <v>#REF!</v>
      </c>
      <c r="AH231" s="55"/>
      <c r="AI231" s="55"/>
      <c r="AL231" s="1"/>
      <c r="AM231" s="13"/>
      <c r="AN231" s="18"/>
    </row>
    <row r="232" spans="2:40" ht="0.75" customHeight="1">
      <c r="B232" s="1">
        <v>33</v>
      </c>
      <c r="C232" s="13">
        <f t="shared" si="11"/>
        <v>0</v>
      </c>
      <c r="D232" s="1">
        <f t="shared" si="12"/>
        <v>243.20000000000002</v>
      </c>
      <c r="E232" s="41">
        <f t="shared" si="21"/>
        <v>106.66666666666667</v>
      </c>
      <c r="F232" s="55">
        <f t="shared" si="22"/>
        <v>183.7837837837838</v>
      </c>
      <c r="G232" s="55">
        <f t="shared" si="23"/>
        <v>198.4864864864865</v>
      </c>
      <c r="H232" s="1">
        <v>33</v>
      </c>
      <c r="I232" s="1">
        <f t="shared" si="13"/>
        <v>348</v>
      </c>
      <c r="J232" s="1">
        <f t="shared" si="14"/>
        <v>152.8</v>
      </c>
      <c r="K232" s="41">
        <f t="shared" si="24"/>
        <v>208.57142857142856</v>
      </c>
      <c r="L232" s="55">
        <f t="shared" si="25"/>
        <v>183.7837837837838</v>
      </c>
      <c r="M232" s="55"/>
      <c r="N232" s="55"/>
      <c r="O232" s="55"/>
      <c r="P232" s="55"/>
      <c r="Q232" s="55"/>
      <c r="R232" s="55"/>
      <c r="S232" s="55"/>
      <c r="U232" s="1">
        <v>33</v>
      </c>
      <c r="V232" s="1">
        <f t="shared" si="15"/>
        <v>16</v>
      </c>
      <c r="W232" s="1">
        <f t="shared" si="16"/>
        <v>240</v>
      </c>
      <c r="X232" s="41">
        <f t="shared" si="26"/>
        <v>144</v>
      </c>
      <c r="Y232" s="55">
        <f t="shared" si="17"/>
        <v>233.05263157894737</v>
      </c>
      <c r="Z232" s="55"/>
      <c r="AA232" s="55"/>
      <c r="AB232" s="1">
        <v>33</v>
      </c>
      <c r="AC232" s="1">
        <f t="shared" si="18"/>
        <v>318</v>
      </c>
      <c r="AD232" s="1">
        <f t="shared" si="19"/>
        <v>252</v>
      </c>
      <c r="AE232" s="41">
        <f t="shared" si="27"/>
        <v>285</v>
      </c>
      <c r="AF232" s="55">
        <f t="shared" si="20"/>
        <v>233.05263157894737</v>
      </c>
      <c r="AG232" s="55" t="e">
        <f>#REF!</f>
        <v>#REF!</v>
      </c>
      <c r="AH232" s="55"/>
      <c r="AI232" s="55"/>
      <c r="AL232" s="1"/>
      <c r="AM232" s="13"/>
      <c r="AN232" s="18"/>
    </row>
    <row r="233" spans="2:40" ht="0.75" customHeight="1">
      <c r="B233" s="1">
        <v>34</v>
      </c>
      <c r="C233" s="13">
        <f t="shared" si="11"/>
        <v>0</v>
      </c>
      <c r="D233" s="1">
        <f t="shared" si="12"/>
        <v>249.60000000000002</v>
      </c>
      <c r="E233" s="41">
        <f t="shared" si="21"/>
        <v>106.66666666666667</v>
      </c>
      <c r="F233" s="55">
        <f t="shared" si="22"/>
        <v>183.7837837837838</v>
      </c>
      <c r="G233" s="55">
        <f t="shared" si="23"/>
        <v>198.4864864864865</v>
      </c>
      <c r="H233" s="1">
        <v>34</v>
      </c>
      <c r="I233" s="1">
        <f t="shared" si="13"/>
        <v>344</v>
      </c>
      <c r="J233" s="1">
        <f t="shared" si="14"/>
        <v>154.4</v>
      </c>
      <c r="K233" s="41">
        <f t="shared" si="24"/>
        <v>208.57142857142856</v>
      </c>
      <c r="L233" s="55">
        <f t="shared" si="25"/>
        <v>183.7837837837838</v>
      </c>
      <c r="M233" s="55"/>
      <c r="N233" s="55"/>
      <c r="O233" s="55"/>
      <c r="P233" s="55"/>
      <c r="Q233" s="55"/>
      <c r="R233" s="55"/>
      <c r="S233" s="55"/>
      <c r="U233" s="1">
        <v>34</v>
      </c>
      <c r="V233" s="1">
        <f t="shared" si="15"/>
        <v>8</v>
      </c>
      <c r="W233" s="1">
        <f t="shared" si="16"/>
        <v>246</v>
      </c>
      <c r="X233" s="41">
        <f t="shared" si="26"/>
        <v>144</v>
      </c>
      <c r="Y233" s="55">
        <f t="shared" si="17"/>
        <v>233.05263157894737</v>
      </c>
      <c r="Z233" s="55"/>
      <c r="AA233" s="55"/>
      <c r="AB233" s="1">
        <v>34</v>
      </c>
      <c r="AC233" s="1">
        <f t="shared" si="18"/>
        <v>314</v>
      </c>
      <c r="AD233" s="1">
        <f t="shared" si="19"/>
        <v>256</v>
      </c>
      <c r="AE233" s="41">
        <f t="shared" si="27"/>
        <v>285</v>
      </c>
      <c r="AF233" s="55">
        <f t="shared" si="20"/>
        <v>233.05263157894737</v>
      </c>
      <c r="AG233" s="55" t="e">
        <f>#REF!</f>
        <v>#REF!</v>
      </c>
      <c r="AH233" s="55"/>
      <c r="AI233" s="55"/>
      <c r="AL233" s="1"/>
      <c r="AM233" s="13"/>
      <c r="AN233" s="18"/>
    </row>
    <row r="234" spans="2:40" ht="0.75" customHeight="1">
      <c r="B234" s="1">
        <v>35</v>
      </c>
      <c r="C234" s="13">
        <f t="shared" si="11"/>
        <v>0</v>
      </c>
      <c r="D234" s="1">
        <f t="shared" si="12"/>
        <v>256</v>
      </c>
      <c r="E234" s="41">
        <f t="shared" si="21"/>
        <v>106.66666666666667</v>
      </c>
      <c r="F234" s="55">
        <f t="shared" si="22"/>
        <v>183.7837837837838</v>
      </c>
      <c r="G234" s="55">
        <f t="shared" si="23"/>
        <v>198.4864864864865</v>
      </c>
      <c r="H234" s="1">
        <v>35</v>
      </c>
      <c r="I234" s="1">
        <f t="shared" si="13"/>
        <v>340</v>
      </c>
      <c r="J234" s="1">
        <f t="shared" si="14"/>
        <v>156</v>
      </c>
      <c r="K234" s="41">
        <f t="shared" si="24"/>
        <v>208.57142857142856</v>
      </c>
      <c r="L234" s="55">
        <f t="shared" si="25"/>
        <v>183.7837837837838</v>
      </c>
      <c r="M234" s="55"/>
      <c r="N234" s="55"/>
      <c r="O234" s="55"/>
      <c r="P234" s="55"/>
      <c r="Q234" s="55"/>
      <c r="R234" s="55"/>
      <c r="S234" s="55"/>
      <c r="U234" s="1">
        <v>35</v>
      </c>
      <c r="V234" s="1">
        <f t="shared" si="15"/>
        <v>0</v>
      </c>
      <c r="W234" s="1">
        <f t="shared" si="16"/>
        <v>252</v>
      </c>
      <c r="X234" s="41">
        <f t="shared" si="26"/>
        <v>144</v>
      </c>
      <c r="Y234" s="55">
        <f t="shared" si="17"/>
        <v>233.05263157894737</v>
      </c>
      <c r="Z234" s="55"/>
      <c r="AA234" s="55"/>
      <c r="AB234" s="1">
        <v>35</v>
      </c>
      <c r="AC234" s="1">
        <f t="shared" si="18"/>
        <v>310</v>
      </c>
      <c r="AD234" s="1">
        <f t="shared" si="19"/>
        <v>260</v>
      </c>
      <c r="AE234" s="41">
        <f t="shared" si="27"/>
        <v>285</v>
      </c>
      <c r="AF234" s="55">
        <f t="shared" si="20"/>
        <v>233.05263157894737</v>
      </c>
      <c r="AG234" s="55" t="e">
        <f>#REF!</f>
        <v>#REF!</v>
      </c>
      <c r="AH234" s="55"/>
      <c r="AI234" s="55"/>
      <c r="AL234" s="1"/>
      <c r="AM234" s="13"/>
      <c r="AN234" s="18"/>
    </row>
    <row r="235" spans="2:40" ht="0.75" customHeight="1">
      <c r="B235" s="1">
        <v>36</v>
      </c>
      <c r="C235" s="13">
        <f t="shared" si="11"/>
        <v>0</v>
      </c>
      <c r="D235" s="1">
        <f t="shared" si="12"/>
        <v>262.4</v>
      </c>
      <c r="E235" s="41">
        <f t="shared" si="21"/>
        <v>106.66666666666667</v>
      </c>
      <c r="F235" s="55">
        <f t="shared" si="22"/>
        <v>183.7837837837838</v>
      </c>
      <c r="G235" s="55">
        <f t="shared" si="23"/>
        <v>198.4864864864865</v>
      </c>
      <c r="H235" s="1">
        <v>36</v>
      </c>
      <c r="I235" s="1">
        <f t="shared" si="13"/>
        <v>336</v>
      </c>
      <c r="J235" s="1">
        <f t="shared" si="14"/>
        <v>157.6</v>
      </c>
      <c r="K235" s="41">
        <f t="shared" si="24"/>
        <v>208.57142857142856</v>
      </c>
      <c r="L235" s="55">
        <f t="shared" si="25"/>
        <v>183.7837837837838</v>
      </c>
      <c r="M235" s="55"/>
      <c r="N235" s="55"/>
      <c r="O235" s="55"/>
      <c r="P235" s="55"/>
      <c r="Q235" s="55"/>
      <c r="R235" s="55"/>
      <c r="S235" s="55"/>
      <c r="U235" s="1">
        <v>36</v>
      </c>
      <c r="V235" s="1">
        <f t="shared" si="15"/>
        <v>0</v>
      </c>
      <c r="W235" s="1">
        <f t="shared" si="16"/>
        <v>258</v>
      </c>
      <c r="X235" s="41">
        <f t="shared" si="26"/>
        <v>144</v>
      </c>
      <c r="Y235" s="55">
        <f t="shared" si="17"/>
        <v>233.05263157894737</v>
      </c>
      <c r="Z235" s="55"/>
      <c r="AA235" s="55"/>
      <c r="AB235" s="1">
        <v>36</v>
      </c>
      <c r="AC235" s="1">
        <f t="shared" si="18"/>
        <v>306</v>
      </c>
      <c r="AD235" s="1">
        <f t="shared" si="19"/>
        <v>264</v>
      </c>
      <c r="AE235" s="41">
        <f t="shared" si="27"/>
        <v>285</v>
      </c>
      <c r="AF235" s="55">
        <f t="shared" si="20"/>
        <v>233.05263157894737</v>
      </c>
      <c r="AG235" s="55" t="e">
        <f>#REF!</f>
        <v>#REF!</v>
      </c>
      <c r="AH235" s="55"/>
      <c r="AI235" s="55"/>
      <c r="AL235" s="1"/>
      <c r="AM235" s="13"/>
      <c r="AN235" s="18"/>
    </row>
    <row r="236" spans="2:40" ht="0.75" customHeight="1">
      <c r="B236" s="1">
        <v>37</v>
      </c>
      <c r="C236" s="13">
        <f t="shared" si="11"/>
        <v>0</v>
      </c>
      <c r="D236" s="1">
        <f t="shared" si="12"/>
        <v>268.8</v>
      </c>
      <c r="E236" s="41">
        <f t="shared" si="21"/>
        <v>106.66666666666667</v>
      </c>
      <c r="F236" s="55">
        <f t="shared" si="22"/>
        <v>183.7837837837838</v>
      </c>
      <c r="G236" s="55">
        <f t="shared" si="23"/>
        <v>198.4864864864865</v>
      </c>
      <c r="H236" s="1">
        <v>37</v>
      </c>
      <c r="I236" s="1">
        <f t="shared" si="13"/>
        <v>332</v>
      </c>
      <c r="J236" s="1">
        <f t="shared" si="14"/>
        <v>159.2</v>
      </c>
      <c r="K236" s="41">
        <f t="shared" si="24"/>
        <v>208.57142857142856</v>
      </c>
      <c r="L236" s="55">
        <f t="shared" si="25"/>
        <v>183.7837837837838</v>
      </c>
      <c r="M236" s="55"/>
      <c r="N236" s="55"/>
      <c r="O236" s="55"/>
      <c r="P236" s="55"/>
      <c r="Q236" s="55"/>
      <c r="R236" s="55"/>
      <c r="S236" s="55"/>
      <c r="U236" s="1">
        <v>37</v>
      </c>
      <c r="V236" s="1">
        <f t="shared" si="15"/>
        <v>0</v>
      </c>
      <c r="W236" s="1">
        <f t="shared" si="16"/>
        <v>264</v>
      </c>
      <c r="X236" s="41">
        <f t="shared" si="26"/>
        <v>144</v>
      </c>
      <c r="Y236" s="55">
        <f t="shared" si="17"/>
        <v>233.05263157894737</v>
      </c>
      <c r="Z236" s="55"/>
      <c r="AA236" s="55"/>
      <c r="AB236" s="1">
        <v>37</v>
      </c>
      <c r="AC236" s="1">
        <f t="shared" si="18"/>
        <v>302</v>
      </c>
      <c r="AD236" s="1">
        <f t="shared" si="19"/>
        <v>268</v>
      </c>
      <c r="AE236" s="41">
        <f t="shared" si="27"/>
        <v>285</v>
      </c>
      <c r="AF236" s="55">
        <f t="shared" si="20"/>
        <v>233.05263157894737</v>
      </c>
      <c r="AG236" s="55" t="e">
        <f>#REF!</f>
        <v>#REF!</v>
      </c>
      <c r="AH236" s="55"/>
      <c r="AI236" s="55"/>
      <c r="AL236" s="1"/>
      <c r="AM236" s="13"/>
      <c r="AN236" s="18"/>
    </row>
    <row r="237" spans="2:40" ht="0.75" customHeight="1">
      <c r="B237" s="1">
        <v>38</v>
      </c>
      <c r="C237" s="13">
        <f t="shared" si="11"/>
        <v>0</v>
      </c>
      <c r="D237" s="1">
        <f t="shared" si="12"/>
        <v>275.20000000000005</v>
      </c>
      <c r="E237" s="41">
        <f t="shared" si="21"/>
        <v>106.66666666666667</v>
      </c>
      <c r="F237" s="55">
        <f t="shared" si="22"/>
        <v>183.7837837837838</v>
      </c>
      <c r="G237" s="55">
        <f t="shared" si="23"/>
        <v>198.4864864864865</v>
      </c>
      <c r="H237" s="1">
        <v>38</v>
      </c>
      <c r="I237" s="1">
        <f t="shared" si="13"/>
        <v>328</v>
      </c>
      <c r="J237" s="1">
        <f t="shared" si="14"/>
        <v>160.8</v>
      </c>
      <c r="K237" s="41">
        <f t="shared" si="24"/>
        <v>208.57142857142856</v>
      </c>
      <c r="L237" s="55">
        <f t="shared" si="25"/>
        <v>183.7837837837838</v>
      </c>
      <c r="M237" s="55"/>
      <c r="N237" s="55"/>
      <c r="O237" s="55"/>
      <c r="P237" s="55"/>
      <c r="Q237" s="55"/>
      <c r="R237" s="55"/>
      <c r="S237" s="55"/>
      <c r="U237" s="1">
        <v>38</v>
      </c>
      <c r="V237" s="1">
        <f t="shared" si="15"/>
        <v>0</v>
      </c>
      <c r="W237" s="1">
        <f t="shared" si="16"/>
        <v>270</v>
      </c>
      <c r="X237" s="41">
        <f t="shared" si="26"/>
        <v>144</v>
      </c>
      <c r="Y237" s="55">
        <f t="shared" si="17"/>
        <v>233.05263157894737</v>
      </c>
      <c r="Z237" s="55"/>
      <c r="AA237" s="55"/>
      <c r="AB237" s="1">
        <v>38</v>
      </c>
      <c r="AC237" s="1">
        <f t="shared" si="18"/>
        <v>298</v>
      </c>
      <c r="AD237" s="1">
        <f t="shared" si="19"/>
        <v>272</v>
      </c>
      <c r="AE237" s="41">
        <f t="shared" si="27"/>
        <v>285</v>
      </c>
      <c r="AF237" s="55">
        <f t="shared" si="20"/>
        <v>233.05263157894737</v>
      </c>
      <c r="AG237" s="55" t="e">
        <f>#REF!</f>
        <v>#REF!</v>
      </c>
      <c r="AH237" s="55"/>
      <c r="AI237" s="55"/>
      <c r="AL237" s="1"/>
      <c r="AM237" s="13"/>
      <c r="AN237" s="18"/>
    </row>
    <row r="238" spans="2:40" ht="0.75" customHeight="1">
      <c r="B238" s="1">
        <v>39</v>
      </c>
      <c r="C238" s="13">
        <f t="shared" si="11"/>
        <v>0</v>
      </c>
      <c r="D238" s="1">
        <f t="shared" si="12"/>
        <v>281.6</v>
      </c>
      <c r="E238" s="41">
        <f t="shared" si="21"/>
        <v>106.66666666666667</v>
      </c>
      <c r="F238" s="55">
        <f t="shared" si="22"/>
        <v>183.7837837837838</v>
      </c>
      <c r="G238" s="55">
        <f t="shared" si="23"/>
        <v>198.4864864864865</v>
      </c>
      <c r="H238" s="1">
        <v>39</v>
      </c>
      <c r="I238" s="1">
        <f t="shared" si="13"/>
        <v>324</v>
      </c>
      <c r="J238" s="1">
        <f t="shared" si="14"/>
        <v>162.4</v>
      </c>
      <c r="K238" s="41">
        <f t="shared" si="24"/>
        <v>208.57142857142856</v>
      </c>
      <c r="L238" s="55">
        <f t="shared" si="25"/>
        <v>183.7837837837838</v>
      </c>
      <c r="M238" s="55"/>
      <c r="N238" s="55"/>
      <c r="O238" s="55"/>
      <c r="P238" s="55"/>
      <c r="Q238" s="55"/>
      <c r="R238" s="55"/>
      <c r="S238" s="55"/>
      <c r="U238" s="1">
        <v>39</v>
      </c>
      <c r="V238" s="1">
        <f t="shared" si="15"/>
        <v>0</v>
      </c>
      <c r="W238" s="1">
        <f t="shared" si="16"/>
        <v>276</v>
      </c>
      <c r="X238" s="41">
        <f t="shared" si="26"/>
        <v>144</v>
      </c>
      <c r="Y238" s="55">
        <f t="shared" si="17"/>
        <v>233.05263157894737</v>
      </c>
      <c r="Z238" s="55"/>
      <c r="AA238" s="55"/>
      <c r="AB238" s="1">
        <v>39</v>
      </c>
      <c r="AC238" s="1">
        <f t="shared" si="18"/>
        <v>294</v>
      </c>
      <c r="AD238" s="1">
        <f t="shared" si="19"/>
        <v>276</v>
      </c>
      <c r="AE238" s="41">
        <f t="shared" si="27"/>
        <v>285</v>
      </c>
      <c r="AF238" s="55">
        <f t="shared" si="20"/>
        <v>233.05263157894737</v>
      </c>
      <c r="AG238" s="55" t="e">
        <f>#REF!</f>
        <v>#REF!</v>
      </c>
      <c r="AH238" s="55"/>
      <c r="AI238" s="55"/>
      <c r="AL238" s="1"/>
      <c r="AM238" s="13"/>
      <c r="AN238" s="18"/>
    </row>
    <row r="239" spans="2:40" ht="0.75" customHeight="1">
      <c r="B239" s="1">
        <v>40</v>
      </c>
      <c r="C239" s="13">
        <f t="shared" si="11"/>
        <v>0</v>
      </c>
      <c r="D239" s="1">
        <f t="shared" si="12"/>
        <v>288</v>
      </c>
      <c r="E239" s="41">
        <f t="shared" si="21"/>
        <v>106.66666666666667</v>
      </c>
      <c r="F239" s="55">
        <f t="shared" si="22"/>
        <v>183.7837837837838</v>
      </c>
      <c r="G239" s="55">
        <f t="shared" si="23"/>
        <v>198.4864864864865</v>
      </c>
      <c r="H239" s="1">
        <v>40</v>
      </c>
      <c r="I239" s="1">
        <f t="shared" si="13"/>
        <v>320</v>
      </c>
      <c r="J239" s="1">
        <f t="shared" si="14"/>
        <v>164</v>
      </c>
      <c r="K239" s="41">
        <f t="shared" si="24"/>
        <v>208.57142857142856</v>
      </c>
      <c r="L239" s="55">
        <f t="shared" si="25"/>
        <v>183.7837837837838</v>
      </c>
      <c r="M239" s="55"/>
      <c r="N239" s="55"/>
      <c r="O239" s="55"/>
      <c r="P239" s="55"/>
      <c r="Q239" s="55"/>
      <c r="R239" s="55"/>
      <c r="S239" s="55"/>
      <c r="U239" s="1">
        <v>40</v>
      </c>
      <c r="V239" s="1">
        <f t="shared" si="15"/>
        <v>0</v>
      </c>
      <c r="W239" s="1">
        <f t="shared" si="16"/>
        <v>282</v>
      </c>
      <c r="X239" s="41">
        <f t="shared" si="26"/>
        <v>144</v>
      </c>
      <c r="Y239" s="55">
        <f t="shared" si="17"/>
        <v>233.05263157894737</v>
      </c>
      <c r="Z239" s="55"/>
      <c r="AA239" s="55"/>
      <c r="AB239" s="1">
        <v>40</v>
      </c>
      <c r="AC239" s="1">
        <f t="shared" si="18"/>
        <v>290</v>
      </c>
      <c r="AD239" s="1">
        <f t="shared" si="19"/>
        <v>280</v>
      </c>
      <c r="AE239" s="41">
        <f t="shared" si="27"/>
        <v>285</v>
      </c>
      <c r="AF239" s="55">
        <f t="shared" si="20"/>
        <v>233.05263157894737</v>
      </c>
      <c r="AG239" s="55" t="e">
        <f>#REF!</f>
        <v>#REF!</v>
      </c>
      <c r="AH239" s="55"/>
      <c r="AI239" s="55"/>
      <c r="AL239" s="1"/>
      <c r="AM239" s="13"/>
      <c r="AN239" s="18"/>
    </row>
    <row r="240" spans="2:40" ht="0.75" customHeight="1">
      <c r="B240" s="1">
        <v>41</v>
      </c>
      <c r="C240" s="13">
        <f t="shared" si="11"/>
        <v>0</v>
      </c>
      <c r="D240" s="1">
        <f t="shared" si="12"/>
        <v>294.40000000000003</v>
      </c>
      <c r="E240" s="41">
        <f t="shared" si="21"/>
        <v>106.66666666666667</v>
      </c>
      <c r="F240" s="55">
        <f t="shared" si="22"/>
        <v>183.7837837837838</v>
      </c>
      <c r="G240" s="55">
        <f t="shared" si="23"/>
        <v>198.4864864864865</v>
      </c>
      <c r="H240" s="1">
        <v>41</v>
      </c>
      <c r="I240" s="1">
        <f t="shared" si="13"/>
        <v>316</v>
      </c>
      <c r="J240" s="1">
        <f t="shared" si="14"/>
        <v>165.60000000000002</v>
      </c>
      <c r="K240" s="41">
        <f t="shared" si="24"/>
        <v>208.57142857142856</v>
      </c>
      <c r="L240" s="55">
        <f t="shared" si="25"/>
        <v>183.7837837837838</v>
      </c>
      <c r="M240" s="55"/>
      <c r="N240" s="55"/>
      <c r="O240" s="55"/>
      <c r="P240" s="55"/>
      <c r="Q240" s="55"/>
      <c r="R240" s="55"/>
      <c r="S240" s="55"/>
      <c r="U240" s="1">
        <v>41</v>
      </c>
      <c r="V240" s="1">
        <f t="shared" si="15"/>
        <v>0</v>
      </c>
      <c r="W240" s="1">
        <f t="shared" si="16"/>
        <v>288</v>
      </c>
      <c r="X240" s="41">
        <f t="shared" si="26"/>
        <v>144</v>
      </c>
      <c r="Y240" s="55">
        <f t="shared" si="17"/>
        <v>233.05263157894737</v>
      </c>
      <c r="Z240" s="55"/>
      <c r="AA240" s="55"/>
      <c r="AB240" s="1">
        <v>41</v>
      </c>
      <c r="AC240" s="1">
        <f t="shared" si="18"/>
        <v>286</v>
      </c>
      <c r="AD240" s="1">
        <f t="shared" si="19"/>
        <v>284</v>
      </c>
      <c r="AE240" s="41">
        <f t="shared" si="27"/>
        <v>285</v>
      </c>
      <c r="AF240" s="55">
        <f t="shared" si="20"/>
        <v>233.05263157894737</v>
      </c>
      <c r="AG240" s="55" t="e">
        <f>#REF!</f>
        <v>#REF!</v>
      </c>
      <c r="AH240" s="55"/>
      <c r="AI240" s="55"/>
      <c r="AL240" s="1"/>
      <c r="AM240" s="13"/>
      <c r="AN240" s="18"/>
    </row>
    <row r="241" spans="2:40" ht="0.75" customHeight="1">
      <c r="B241" s="1">
        <v>42</v>
      </c>
      <c r="C241" s="13">
        <f t="shared" si="11"/>
        <v>0</v>
      </c>
      <c r="D241" s="1">
        <f t="shared" si="12"/>
        <v>300.8</v>
      </c>
      <c r="E241" s="41">
        <f t="shared" si="21"/>
        <v>106.66666666666667</v>
      </c>
      <c r="F241" s="55">
        <f t="shared" si="22"/>
        <v>183.7837837837838</v>
      </c>
      <c r="G241" s="55">
        <f t="shared" si="23"/>
        <v>198.4864864864865</v>
      </c>
      <c r="H241" s="1">
        <v>42</v>
      </c>
      <c r="I241" s="1">
        <f t="shared" si="13"/>
        <v>312</v>
      </c>
      <c r="J241" s="1">
        <f t="shared" si="14"/>
        <v>167.2</v>
      </c>
      <c r="K241" s="41">
        <f t="shared" si="24"/>
        <v>208.57142857142856</v>
      </c>
      <c r="L241" s="55">
        <f t="shared" si="25"/>
        <v>183.7837837837838</v>
      </c>
      <c r="M241" s="55"/>
      <c r="N241" s="55"/>
      <c r="O241" s="55"/>
      <c r="P241" s="55"/>
      <c r="Q241" s="55"/>
      <c r="R241" s="55"/>
      <c r="S241" s="55"/>
      <c r="U241" s="1">
        <v>42</v>
      </c>
      <c r="V241" s="1">
        <f t="shared" si="15"/>
        <v>0</v>
      </c>
      <c r="W241" s="1">
        <f t="shared" si="16"/>
        <v>294</v>
      </c>
      <c r="X241" s="41">
        <f t="shared" si="26"/>
        <v>144</v>
      </c>
      <c r="Y241" s="55">
        <f t="shared" si="17"/>
        <v>233.05263157894737</v>
      </c>
      <c r="Z241" s="55"/>
      <c r="AA241" s="55"/>
      <c r="AB241" s="1">
        <v>42</v>
      </c>
      <c r="AC241" s="1">
        <f t="shared" si="18"/>
        <v>282</v>
      </c>
      <c r="AD241" s="1">
        <f t="shared" si="19"/>
        <v>288</v>
      </c>
      <c r="AE241" s="41">
        <f t="shared" si="27"/>
        <v>285</v>
      </c>
      <c r="AF241" s="55">
        <f t="shared" si="20"/>
        <v>233.05263157894737</v>
      </c>
      <c r="AG241" s="55" t="e">
        <f>#REF!</f>
        <v>#REF!</v>
      </c>
      <c r="AH241" s="55"/>
      <c r="AI241" s="55"/>
      <c r="AL241" s="1"/>
      <c r="AM241" s="13"/>
      <c r="AN241" s="18"/>
    </row>
    <row r="242" spans="2:40" ht="0.75" customHeight="1">
      <c r="B242" s="1">
        <v>43</v>
      </c>
      <c r="C242" s="13">
        <f t="shared" si="11"/>
        <v>0</v>
      </c>
      <c r="D242" s="1">
        <f t="shared" si="12"/>
        <v>307.2</v>
      </c>
      <c r="E242" s="41">
        <f t="shared" si="21"/>
        <v>106.66666666666667</v>
      </c>
      <c r="F242" s="55">
        <f t="shared" si="22"/>
        <v>183.7837837837838</v>
      </c>
      <c r="G242" s="55">
        <f t="shared" si="23"/>
        <v>198.4864864864865</v>
      </c>
      <c r="H242" s="1">
        <v>43</v>
      </c>
      <c r="I242" s="1">
        <f t="shared" si="13"/>
        <v>308</v>
      </c>
      <c r="J242" s="1">
        <f t="shared" si="14"/>
        <v>168.8</v>
      </c>
      <c r="K242" s="41">
        <f t="shared" si="24"/>
        <v>208.57142857142856</v>
      </c>
      <c r="L242" s="55">
        <f t="shared" si="25"/>
        <v>183.7837837837838</v>
      </c>
      <c r="M242" s="55"/>
      <c r="N242" s="55"/>
      <c r="O242" s="55"/>
      <c r="P242" s="55"/>
      <c r="Q242" s="55"/>
      <c r="R242" s="55"/>
      <c r="S242" s="55"/>
      <c r="U242" s="1">
        <v>43</v>
      </c>
      <c r="V242" s="1">
        <f t="shared" si="15"/>
        <v>0</v>
      </c>
      <c r="W242" s="1">
        <f t="shared" si="16"/>
        <v>300</v>
      </c>
      <c r="X242" s="41">
        <f t="shared" si="26"/>
        <v>144</v>
      </c>
      <c r="Y242" s="55">
        <f t="shared" si="17"/>
        <v>233.05263157894737</v>
      </c>
      <c r="Z242" s="55"/>
      <c r="AA242" s="55"/>
      <c r="AB242" s="1">
        <v>43</v>
      </c>
      <c r="AC242" s="1">
        <f t="shared" si="18"/>
        <v>278</v>
      </c>
      <c r="AD242" s="1">
        <f t="shared" si="19"/>
        <v>292</v>
      </c>
      <c r="AE242" s="41">
        <f t="shared" si="27"/>
        <v>285</v>
      </c>
      <c r="AF242" s="55">
        <f t="shared" si="20"/>
        <v>233.05263157894737</v>
      </c>
      <c r="AG242" s="55" t="e">
        <f>#REF!</f>
        <v>#REF!</v>
      </c>
      <c r="AH242" s="55"/>
      <c r="AI242" s="55"/>
      <c r="AL242" s="1"/>
      <c r="AM242" s="13"/>
      <c r="AN242" s="18"/>
    </row>
    <row r="243" spans="2:40" ht="0.75" customHeight="1">
      <c r="B243" s="1">
        <v>44</v>
      </c>
      <c r="C243" s="13">
        <f t="shared" si="11"/>
        <v>0</v>
      </c>
      <c r="D243" s="1">
        <f t="shared" si="12"/>
        <v>313.6</v>
      </c>
      <c r="E243" s="41">
        <f t="shared" si="21"/>
        <v>106.66666666666667</v>
      </c>
      <c r="F243" s="55">
        <f t="shared" si="22"/>
        <v>183.7837837837838</v>
      </c>
      <c r="G243" s="55">
        <f t="shared" si="23"/>
        <v>198.4864864864865</v>
      </c>
      <c r="H243" s="1">
        <v>44</v>
      </c>
      <c r="I243" s="1">
        <f t="shared" si="13"/>
        <v>304</v>
      </c>
      <c r="J243" s="1">
        <f t="shared" si="14"/>
        <v>170.4</v>
      </c>
      <c r="K243" s="41">
        <f t="shared" si="24"/>
        <v>208.57142857142856</v>
      </c>
      <c r="L243" s="55">
        <f t="shared" si="25"/>
        <v>183.7837837837838</v>
      </c>
      <c r="M243" s="55"/>
      <c r="N243" s="55"/>
      <c r="O243" s="55"/>
      <c r="P243" s="55"/>
      <c r="Q243" s="55"/>
      <c r="R243" s="55"/>
      <c r="S243" s="55"/>
      <c r="U243" s="1">
        <v>44</v>
      </c>
      <c r="V243" s="1">
        <f t="shared" si="15"/>
        <v>0</v>
      </c>
      <c r="W243" s="1">
        <f t="shared" si="16"/>
        <v>306</v>
      </c>
      <c r="X243" s="41">
        <f t="shared" si="26"/>
        <v>144</v>
      </c>
      <c r="Y243" s="55">
        <f t="shared" si="17"/>
        <v>233.05263157894737</v>
      </c>
      <c r="Z243" s="55"/>
      <c r="AA243" s="55"/>
      <c r="AB243" s="1">
        <v>44</v>
      </c>
      <c r="AC243" s="1">
        <f t="shared" si="18"/>
        <v>274</v>
      </c>
      <c r="AD243" s="1">
        <f t="shared" si="19"/>
        <v>296</v>
      </c>
      <c r="AE243" s="41">
        <f t="shared" si="27"/>
        <v>285</v>
      </c>
      <c r="AF243" s="55">
        <f t="shared" si="20"/>
        <v>233.05263157894737</v>
      </c>
      <c r="AG243" s="55" t="e">
        <f>#REF!</f>
        <v>#REF!</v>
      </c>
      <c r="AH243" s="55"/>
      <c r="AI243" s="55"/>
      <c r="AL243" s="1"/>
      <c r="AM243" s="13"/>
      <c r="AN243" s="18"/>
    </row>
    <row r="244" spans="2:40" ht="0.75" customHeight="1">
      <c r="B244" s="1">
        <v>45</v>
      </c>
      <c r="C244" s="13">
        <f t="shared" si="11"/>
        <v>0</v>
      </c>
      <c r="D244" s="1">
        <f t="shared" si="12"/>
        <v>320</v>
      </c>
      <c r="E244" s="41">
        <f t="shared" si="21"/>
        <v>106.66666666666667</v>
      </c>
      <c r="F244" s="55">
        <f t="shared" si="22"/>
        <v>183.7837837837838</v>
      </c>
      <c r="G244" s="55">
        <f t="shared" si="23"/>
        <v>198.4864864864865</v>
      </c>
      <c r="H244" s="1">
        <v>45</v>
      </c>
      <c r="I244" s="1">
        <f t="shared" si="13"/>
        <v>300</v>
      </c>
      <c r="J244" s="1">
        <f t="shared" si="14"/>
        <v>172</v>
      </c>
      <c r="K244" s="41">
        <f t="shared" si="24"/>
        <v>208.57142857142856</v>
      </c>
      <c r="L244" s="55">
        <f t="shared" si="25"/>
        <v>183.7837837837838</v>
      </c>
      <c r="M244" s="55"/>
      <c r="N244" s="55"/>
      <c r="O244" s="55"/>
      <c r="P244" s="55"/>
      <c r="Q244" s="55"/>
      <c r="R244" s="55"/>
      <c r="S244" s="55"/>
      <c r="U244" s="1">
        <v>45</v>
      </c>
      <c r="V244" s="1">
        <f t="shared" si="15"/>
        <v>0</v>
      </c>
      <c r="W244" s="1">
        <f t="shared" si="16"/>
        <v>312</v>
      </c>
      <c r="X244" s="41">
        <f t="shared" si="26"/>
        <v>144</v>
      </c>
      <c r="Y244" s="55">
        <f t="shared" si="17"/>
        <v>233.05263157894737</v>
      </c>
      <c r="Z244" s="55"/>
      <c r="AA244" s="55"/>
      <c r="AB244" s="1">
        <v>45</v>
      </c>
      <c r="AC244" s="1">
        <f t="shared" si="18"/>
        <v>270</v>
      </c>
      <c r="AD244" s="1">
        <f t="shared" si="19"/>
        <v>300</v>
      </c>
      <c r="AE244" s="41">
        <f t="shared" si="27"/>
        <v>285</v>
      </c>
      <c r="AF244" s="55">
        <f t="shared" si="20"/>
        <v>233.05263157894737</v>
      </c>
      <c r="AG244" s="55" t="e">
        <f>#REF!</f>
        <v>#REF!</v>
      </c>
      <c r="AH244" s="55"/>
      <c r="AI244" s="55"/>
      <c r="AL244" s="1"/>
      <c r="AM244" s="13"/>
      <c r="AN244" s="18"/>
    </row>
    <row r="245" spans="2:40" ht="0.75" customHeight="1">
      <c r="B245" s="1">
        <v>46</v>
      </c>
      <c r="C245" s="13">
        <f t="shared" si="11"/>
        <v>0</v>
      </c>
      <c r="D245" s="1">
        <f t="shared" si="12"/>
        <v>326.40000000000003</v>
      </c>
      <c r="E245" s="41">
        <f t="shared" si="21"/>
        <v>106.66666666666667</v>
      </c>
      <c r="F245" s="55">
        <f t="shared" si="22"/>
        <v>183.7837837837838</v>
      </c>
      <c r="G245" s="55">
        <f t="shared" si="23"/>
        <v>198.4864864864865</v>
      </c>
      <c r="H245" s="1">
        <v>46</v>
      </c>
      <c r="I245" s="1">
        <f t="shared" si="13"/>
        <v>296</v>
      </c>
      <c r="J245" s="1">
        <f t="shared" si="14"/>
        <v>173.60000000000002</v>
      </c>
      <c r="K245" s="41">
        <f t="shared" si="24"/>
        <v>208.57142857142856</v>
      </c>
      <c r="L245" s="55">
        <f t="shared" si="25"/>
        <v>183.7837837837838</v>
      </c>
      <c r="M245" s="55"/>
      <c r="N245" s="55"/>
      <c r="O245" s="55"/>
      <c r="P245" s="55"/>
      <c r="Q245" s="55"/>
      <c r="R245" s="55"/>
      <c r="S245" s="55"/>
      <c r="U245" s="1">
        <v>46</v>
      </c>
      <c r="V245" s="1">
        <f t="shared" si="15"/>
        <v>0</v>
      </c>
      <c r="W245" s="1">
        <f t="shared" si="16"/>
        <v>318</v>
      </c>
      <c r="X245" s="41">
        <f t="shared" si="26"/>
        <v>144</v>
      </c>
      <c r="Y245" s="55">
        <f t="shared" si="17"/>
        <v>233.05263157894737</v>
      </c>
      <c r="Z245" s="55"/>
      <c r="AA245" s="55"/>
      <c r="AB245" s="1">
        <v>46</v>
      </c>
      <c r="AC245" s="1">
        <f t="shared" si="18"/>
        <v>266</v>
      </c>
      <c r="AD245" s="1">
        <f t="shared" si="19"/>
        <v>304</v>
      </c>
      <c r="AE245" s="41">
        <f t="shared" si="27"/>
        <v>285</v>
      </c>
      <c r="AF245" s="55">
        <f t="shared" si="20"/>
        <v>233.05263157894737</v>
      </c>
      <c r="AG245" s="55" t="e">
        <f>#REF!</f>
        <v>#REF!</v>
      </c>
      <c r="AH245" s="55"/>
      <c r="AI245" s="55"/>
      <c r="AL245" s="1"/>
      <c r="AM245" s="13"/>
      <c r="AN245" s="18"/>
    </row>
    <row r="246" spans="2:40" ht="0.75" customHeight="1">
      <c r="B246" s="1">
        <v>47</v>
      </c>
      <c r="C246" s="13">
        <f t="shared" si="11"/>
        <v>0</v>
      </c>
      <c r="D246" s="1">
        <f t="shared" si="12"/>
        <v>332.8</v>
      </c>
      <c r="E246" s="41">
        <f t="shared" si="21"/>
        <v>106.66666666666667</v>
      </c>
      <c r="F246" s="55">
        <f t="shared" si="22"/>
        <v>183.7837837837838</v>
      </c>
      <c r="G246" s="55">
        <f t="shared" si="23"/>
        <v>198.4864864864865</v>
      </c>
      <c r="H246" s="1">
        <v>47</v>
      </c>
      <c r="I246" s="1">
        <f t="shared" si="13"/>
        <v>292</v>
      </c>
      <c r="J246" s="1">
        <f t="shared" si="14"/>
        <v>175.2</v>
      </c>
      <c r="K246" s="41">
        <f t="shared" si="24"/>
        <v>208.57142857142856</v>
      </c>
      <c r="L246" s="55">
        <f t="shared" si="25"/>
        <v>183.7837837837838</v>
      </c>
      <c r="M246" s="55"/>
      <c r="N246" s="55"/>
      <c r="O246" s="55"/>
      <c r="P246" s="55"/>
      <c r="Q246" s="55"/>
      <c r="R246" s="55"/>
      <c r="S246" s="55"/>
      <c r="U246" s="1">
        <v>47</v>
      </c>
      <c r="V246" s="1">
        <f t="shared" si="15"/>
        <v>0</v>
      </c>
      <c r="W246" s="1">
        <f t="shared" si="16"/>
        <v>324</v>
      </c>
      <c r="X246" s="41">
        <f t="shared" si="26"/>
        <v>144</v>
      </c>
      <c r="Y246" s="55">
        <f t="shared" si="17"/>
        <v>233.05263157894737</v>
      </c>
      <c r="Z246" s="55"/>
      <c r="AA246" s="55"/>
      <c r="AB246" s="1">
        <v>47</v>
      </c>
      <c r="AC246" s="1">
        <f t="shared" si="18"/>
        <v>262</v>
      </c>
      <c r="AD246" s="1">
        <f t="shared" si="19"/>
        <v>308</v>
      </c>
      <c r="AE246" s="41">
        <f t="shared" si="27"/>
        <v>285</v>
      </c>
      <c r="AF246" s="55">
        <f t="shared" si="20"/>
        <v>233.05263157894737</v>
      </c>
      <c r="AG246" s="55" t="e">
        <f>#REF!</f>
        <v>#REF!</v>
      </c>
      <c r="AH246" s="55"/>
      <c r="AI246" s="55"/>
      <c r="AL246" s="1"/>
      <c r="AM246" s="13"/>
      <c r="AN246" s="18"/>
    </row>
    <row r="247" spans="2:40" ht="0.75" customHeight="1">
      <c r="B247" s="1">
        <v>48</v>
      </c>
      <c r="C247" s="13">
        <f t="shared" si="11"/>
        <v>0</v>
      </c>
      <c r="D247" s="1">
        <f t="shared" si="12"/>
        <v>339.20000000000005</v>
      </c>
      <c r="E247" s="41">
        <f t="shared" si="21"/>
        <v>106.66666666666667</v>
      </c>
      <c r="F247" s="55">
        <f t="shared" si="22"/>
        <v>183.7837837837838</v>
      </c>
      <c r="G247" s="55">
        <f t="shared" si="23"/>
        <v>198.4864864864865</v>
      </c>
      <c r="H247" s="1">
        <v>48</v>
      </c>
      <c r="I247" s="1">
        <f t="shared" si="13"/>
        <v>288</v>
      </c>
      <c r="J247" s="1">
        <f t="shared" si="14"/>
        <v>176.8</v>
      </c>
      <c r="K247" s="41">
        <f t="shared" si="24"/>
        <v>208.57142857142856</v>
      </c>
      <c r="L247" s="55">
        <f t="shared" si="25"/>
        <v>183.7837837837838</v>
      </c>
      <c r="M247" s="55"/>
      <c r="N247" s="55"/>
      <c r="O247" s="55"/>
      <c r="P247" s="55"/>
      <c r="Q247" s="55"/>
      <c r="R247" s="55"/>
      <c r="S247" s="55"/>
      <c r="U247" s="1">
        <v>48</v>
      </c>
      <c r="V247" s="1">
        <f t="shared" si="15"/>
        <v>0</v>
      </c>
      <c r="W247" s="1">
        <f t="shared" si="16"/>
        <v>330</v>
      </c>
      <c r="X247" s="41">
        <f t="shared" si="26"/>
        <v>144</v>
      </c>
      <c r="Y247" s="55">
        <f t="shared" si="17"/>
        <v>233.05263157894737</v>
      </c>
      <c r="Z247" s="55"/>
      <c r="AA247" s="55"/>
      <c r="AB247" s="1">
        <v>48</v>
      </c>
      <c r="AC247" s="1">
        <f t="shared" si="18"/>
        <v>258</v>
      </c>
      <c r="AD247" s="1">
        <f t="shared" si="19"/>
        <v>312</v>
      </c>
      <c r="AE247" s="41">
        <f t="shared" si="27"/>
        <v>285</v>
      </c>
      <c r="AF247" s="55">
        <f t="shared" si="20"/>
        <v>233.05263157894737</v>
      </c>
      <c r="AG247" s="55" t="e">
        <f>#REF!</f>
        <v>#REF!</v>
      </c>
      <c r="AH247" s="55"/>
      <c r="AI247" s="55"/>
      <c r="AL247" s="1"/>
      <c r="AM247" s="13"/>
      <c r="AN247" s="18"/>
    </row>
    <row r="248" spans="2:40" ht="0.75" customHeight="1">
      <c r="B248" s="1">
        <v>49</v>
      </c>
      <c r="C248" s="13">
        <f t="shared" si="11"/>
        <v>0</v>
      </c>
      <c r="D248" s="1">
        <f t="shared" si="12"/>
        <v>345.6</v>
      </c>
      <c r="E248" s="41">
        <f t="shared" si="21"/>
        <v>106.66666666666667</v>
      </c>
      <c r="F248" s="55">
        <f t="shared" si="22"/>
        <v>183.7837837837838</v>
      </c>
      <c r="G248" s="55">
        <f t="shared" si="23"/>
        <v>198.4864864864865</v>
      </c>
      <c r="H248" s="1">
        <v>49</v>
      </c>
      <c r="I248" s="1">
        <f t="shared" si="13"/>
        <v>284</v>
      </c>
      <c r="J248" s="1">
        <f t="shared" si="14"/>
        <v>178.4</v>
      </c>
      <c r="K248" s="41">
        <f t="shared" si="24"/>
        <v>208.57142857142856</v>
      </c>
      <c r="L248" s="55">
        <f t="shared" si="25"/>
        <v>183.7837837837838</v>
      </c>
      <c r="M248" s="55"/>
      <c r="N248" s="55"/>
      <c r="O248" s="55"/>
      <c r="P248" s="55"/>
      <c r="Q248" s="55"/>
      <c r="R248" s="55"/>
      <c r="S248" s="55"/>
      <c r="U248" s="1">
        <v>49</v>
      </c>
      <c r="V248" s="1">
        <f t="shared" si="15"/>
        <v>0</v>
      </c>
      <c r="W248" s="1">
        <f t="shared" si="16"/>
        <v>336</v>
      </c>
      <c r="X248" s="41">
        <f t="shared" si="26"/>
        <v>144</v>
      </c>
      <c r="Y248" s="55">
        <f t="shared" si="17"/>
        <v>233.05263157894737</v>
      </c>
      <c r="Z248" s="55"/>
      <c r="AA248" s="55"/>
      <c r="AB248" s="1">
        <v>49</v>
      </c>
      <c r="AC248" s="1">
        <f t="shared" si="18"/>
        <v>254</v>
      </c>
      <c r="AD248" s="1">
        <f t="shared" si="19"/>
        <v>316</v>
      </c>
      <c r="AE248" s="41">
        <f t="shared" si="27"/>
        <v>285</v>
      </c>
      <c r="AF248" s="55">
        <f t="shared" si="20"/>
        <v>233.05263157894737</v>
      </c>
      <c r="AG248" s="55" t="e">
        <f>#REF!</f>
        <v>#REF!</v>
      </c>
      <c r="AH248" s="55"/>
      <c r="AI248" s="55"/>
      <c r="AL248" s="1"/>
      <c r="AM248" s="13"/>
      <c r="AN248" s="18"/>
    </row>
    <row r="249" spans="2:40" ht="0.75" customHeight="1">
      <c r="B249" s="1">
        <v>50</v>
      </c>
      <c r="C249" s="13">
        <f t="shared" si="11"/>
        <v>0</v>
      </c>
      <c r="D249" s="1">
        <f t="shared" si="12"/>
        <v>352</v>
      </c>
      <c r="E249" s="41">
        <f t="shared" si="21"/>
        <v>106.66666666666667</v>
      </c>
      <c r="F249" s="55">
        <f t="shared" si="22"/>
        <v>183.7837837837838</v>
      </c>
      <c r="G249" s="55">
        <f t="shared" si="23"/>
        <v>198.4864864864865</v>
      </c>
      <c r="H249" s="1">
        <v>50</v>
      </c>
      <c r="I249" s="1">
        <f t="shared" si="13"/>
        <v>280</v>
      </c>
      <c r="J249" s="1">
        <f t="shared" si="14"/>
        <v>180</v>
      </c>
      <c r="K249" s="41">
        <f t="shared" si="24"/>
        <v>208.57142857142856</v>
      </c>
      <c r="L249" s="55">
        <f t="shared" si="25"/>
        <v>183.7837837837838</v>
      </c>
      <c r="M249" s="55"/>
      <c r="N249" s="55"/>
      <c r="O249" s="55"/>
      <c r="P249" s="55"/>
      <c r="Q249" s="55"/>
      <c r="R249" s="55"/>
      <c r="S249" s="55"/>
      <c r="U249" s="1">
        <v>50</v>
      </c>
      <c r="V249" s="1">
        <f t="shared" si="15"/>
        <v>0</v>
      </c>
      <c r="W249" s="1">
        <f t="shared" si="16"/>
        <v>342</v>
      </c>
      <c r="X249" s="41">
        <f t="shared" si="26"/>
        <v>144</v>
      </c>
      <c r="Y249" s="55">
        <f t="shared" si="17"/>
        <v>233.05263157894737</v>
      </c>
      <c r="Z249" s="55"/>
      <c r="AA249" s="55"/>
      <c r="AB249" s="1">
        <v>50</v>
      </c>
      <c r="AC249" s="1">
        <f t="shared" si="18"/>
        <v>250</v>
      </c>
      <c r="AD249" s="1">
        <f t="shared" si="19"/>
        <v>320</v>
      </c>
      <c r="AE249" s="41">
        <f t="shared" si="27"/>
        <v>285</v>
      </c>
      <c r="AF249" s="55">
        <f t="shared" si="20"/>
        <v>233.05263157894737</v>
      </c>
      <c r="AG249" s="55" t="e">
        <f>#REF!</f>
        <v>#REF!</v>
      </c>
      <c r="AH249" s="55"/>
      <c r="AI249" s="55"/>
      <c r="AL249" s="1"/>
      <c r="AM249" s="13"/>
      <c r="AN249" s="18"/>
    </row>
    <row r="250" spans="2:40" ht="0.75" customHeight="1">
      <c r="B250" s="1">
        <v>51</v>
      </c>
      <c r="C250" s="13">
        <f t="shared" si="11"/>
        <v>0</v>
      </c>
      <c r="D250" s="1">
        <f t="shared" si="12"/>
        <v>358.40000000000003</v>
      </c>
      <c r="E250" s="41">
        <f t="shared" si="21"/>
        <v>106.66666666666667</v>
      </c>
      <c r="F250" s="55">
        <f t="shared" si="22"/>
        <v>183.7837837837838</v>
      </c>
      <c r="G250" s="55">
        <f t="shared" si="23"/>
        <v>198.4864864864865</v>
      </c>
      <c r="H250" s="1">
        <v>51</v>
      </c>
      <c r="I250" s="1">
        <f t="shared" si="13"/>
        <v>276</v>
      </c>
      <c r="J250" s="1">
        <f t="shared" si="14"/>
        <v>181.60000000000002</v>
      </c>
      <c r="K250" s="41">
        <f t="shared" si="24"/>
        <v>208.57142857142856</v>
      </c>
      <c r="L250" s="55">
        <f t="shared" si="25"/>
        <v>183.7837837837838</v>
      </c>
      <c r="M250" s="55"/>
      <c r="N250" s="55"/>
      <c r="O250" s="55"/>
      <c r="P250" s="55"/>
      <c r="Q250" s="55"/>
      <c r="R250" s="55"/>
      <c r="S250" s="55"/>
      <c r="U250" s="1">
        <v>51</v>
      </c>
      <c r="V250" s="1">
        <f t="shared" si="15"/>
        <v>0</v>
      </c>
      <c r="W250" s="1">
        <f t="shared" si="16"/>
        <v>348</v>
      </c>
      <c r="X250" s="41">
        <f t="shared" si="26"/>
        <v>144</v>
      </c>
      <c r="Y250" s="55">
        <f t="shared" si="17"/>
        <v>233.05263157894737</v>
      </c>
      <c r="Z250" s="55"/>
      <c r="AA250" s="55"/>
      <c r="AB250" s="1">
        <v>51</v>
      </c>
      <c r="AC250" s="1">
        <f t="shared" si="18"/>
        <v>246</v>
      </c>
      <c r="AD250" s="1">
        <f t="shared" si="19"/>
        <v>324</v>
      </c>
      <c r="AE250" s="41">
        <f t="shared" si="27"/>
        <v>285</v>
      </c>
      <c r="AF250" s="55">
        <f t="shared" si="20"/>
        <v>233.05263157894737</v>
      </c>
      <c r="AG250" s="55" t="e">
        <f>#REF!</f>
        <v>#REF!</v>
      </c>
      <c r="AH250" s="55"/>
      <c r="AI250" s="55"/>
      <c r="AL250" s="1"/>
      <c r="AM250" s="13"/>
      <c r="AN250" s="18"/>
    </row>
    <row r="251" spans="2:40" ht="0.75" customHeight="1">
      <c r="B251" s="1">
        <v>52</v>
      </c>
      <c r="C251" s="13">
        <f t="shared" si="11"/>
        <v>0</v>
      </c>
      <c r="D251" s="1">
        <f t="shared" si="12"/>
        <v>364.8</v>
      </c>
      <c r="E251" s="41">
        <f t="shared" si="21"/>
        <v>106.66666666666667</v>
      </c>
      <c r="F251" s="55">
        <f t="shared" si="22"/>
        <v>183.7837837837838</v>
      </c>
      <c r="G251" s="55">
        <f t="shared" si="23"/>
        <v>198.4864864864865</v>
      </c>
      <c r="H251" s="1">
        <v>52</v>
      </c>
      <c r="I251" s="1">
        <f t="shared" si="13"/>
        <v>272</v>
      </c>
      <c r="J251" s="1">
        <f t="shared" si="14"/>
        <v>183.2</v>
      </c>
      <c r="K251" s="41">
        <f t="shared" si="24"/>
        <v>208.57142857142856</v>
      </c>
      <c r="L251" s="55">
        <f t="shared" si="25"/>
        <v>183.7837837837838</v>
      </c>
      <c r="M251" s="55"/>
      <c r="N251" s="55"/>
      <c r="O251" s="55"/>
      <c r="P251" s="55"/>
      <c r="Q251" s="55"/>
      <c r="R251" s="55"/>
      <c r="S251" s="55"/>
      <c r="U251" s="1">
        <v>52</v>
      </c>
      <c r="V251" s="1">
        <f t="shared" si="15"/>
        <v>0</v>
      </c>
      <c r="W251" s="1">
        <f t="shared" si="16"/>
        <v>354</v>
      </c>
      <c r="X251" s="41">
        <f t="shared" si="26"/>
        <v>144</v>
      </c>
      <c r="Y251" s="55">
        <f t="shared" si="17"/>
        <v>233.05263157894737</v>
      </c>
      <c r="Z251" s="55"/>
      <c r="AA251" s="55"/>
      <c r="AB251" s="1">
        <v>52</v>
      </c>
      <c r="AC251" s="1">
        <f t="shared" si="18"/>
        <v>242</v>
      </c>
      <c r="AD251" s="1">
        <f t="shared" si="19"/>
        <v>328</v>
      </c>
      <c r="AE251" s="41">
        <f t="shared" si="27"/>
        <v>285</v>
      </c>
      <c r="AF251" s="55">
        <f t="shared" si="20"/>
        <v>233.05263157894737</v>
      </c>
      <c r="AG251" s="55" t="e">
        <f>#REF!</f>
        <v>#REF!</v>
      </c>
      <c r="AH251" s="55"/>
      <c r="AI251" s="55"/>
      <c r="AL251" s="1"/>
      <c r="AM251" s="13"/>
      <c r="AN251" s="18"/>
    </row>
    <row r="252" spans="2:40" ht="0.75" customHeight="1">
      <c r="B252" s="1">
        <v>53</v>
      </c>
      <c r="C252" s="13">
        <f t="shared" si="11"/>
        <v>0</v>
      </c>
      <c r="D252" s="1">
        <f t="shared" si="12"/>
        <v>371.20000000000005</v>
      </c>
      <c r="E252" s="41">
        <f t="shared" si="21"/>
        <v>106.66666666666667</v>
      </c>
      <c r="F252" s="55">
        <f t="shared" si="22"/>
        <v>183.7837837837838</v>
      </c>
      <c r="G252" s="55">
        <f t="shared" si="23"/>
        <v>198.4864864864865</v>
      </c>
      <c r="H252" s="1">
        <v>53</v>
      </c>
      <c r="I252" s="1">
        <f t="shared" si="13"/>
        <v>268</v>
      </c>
      <c r="J252" s="1">
        <f t="shared" si="14"/>
        <v>184.8</v>
      </c>
      <c r="K252" s="41">
        <f t="shared" si="24"/>
        <v>208.57142857142856</v>
      </c>
      <c r="L252" s="55">
        <f t="shared" si="25"/>
        <v>183.7837837837838</v>
      </c>
      <c r="M252" s="55"/>
      <c r="N252" s="55"/>
      <c r="O252" s="55"/>
      <c r="P252" s="55"/>
      <c r="Q252" s="55"/>
      <c r="R252" s="55"/>
      <c r="S252" s="55"/>
      <c r="U252" s="1">
        <v>53</v>
      </c>
      <c r="V252" s="1">
        <f t="shared" si="15"/>
        <v>0</v>
      </c>
      <c r="W252" s="1">
        <f t="shared" si="16"/>
        <v>360</v>
      </c>
      <c r="X252" s="41">
        <f t="shared" si="26"/>
        <v>144</v>
      </c>
      <c r="Y252" s="55">
        <f t="shared" si="17"/>
        <v>233.05263157894737</v>
      </c>
      <c r="Z252" s="55"/>
      <c r="AA252" s="55"/>
      <c r="AB252" s="1">
        <v>53</v>
      </c>
      <c r="AC252" s="1">
        <f t="shared" si="18"/>
        <v>238</v>
      </c>
      <c r="AD252" s="1">
        <f t="shared" si="19"/>
        <v>332</v>
      </c>
      <c r="AE252" s="41">
        <f t="shared" si="27"/>
        <v>285</v>
      </c>
      <c r="AF252" s="55">
        <f t="shared" si="20"/>
        <v>233.05263157894737</v>
      </c>
      <c r="AG252" s="55" t="e">
        <f>#REF!</f>
        <v>#REF!</v>
      </c>
      <c r="AH252" s="55"/>
      <c r="AI252" s="55"/>
      <c r="AL252" s="1"/>
      <c r="AM252" s="13"/>
      <c r="AN252" s="18"/>
    </row>
    <row r="253" spans="2:40" ht="0.75" customHeight="1">
      <c r="B253" s="1">
        <v>54</v>
      </c>
      <c r="C253" s="13">
        <f t="shared" si="11"/>
        <v>0</v>
      </c>
      <c r="D253" s="1">
        <f t="shared" si="12"/>
        <v>377.6</v>
      </c>
      <c r="E253" s="41">
        <f t="shared" si="21"/>
        <v>106.66666666666667</v>
      </c>
      <c r="F253" s="55">
        <f t="shared" si="22"/>
        <v>183.7837837837838</v>
      </c>
      <c r="G253" s="55">
        <f t="shared" si="23"/>
        <v>198.4864864864865</v>
      </c>
      <c r="H253" s="1">
        <v>54</v>
      </c>
      <c r="I253" s="1">
        <f t="shared" si="13"/>
        <v>264</v>
      </c>
      <c r="J253" s="1">
        <f t="shared" si="14"/>
        <v>186.4</v>
      </c>
      <c r="K253" s="41">
        <f t="shared" si="24"/>
        <v>208.57142857142856</v>
      </c>
      <c r="L253" s="55">
        <f t="shared" si="25"/>
        <v>183.7837837837838</v>
      </c>
      <c r="M253" s="55"/>
      <c r="N253" s="55"/>
      <c r="O253" s="55"/>
      <c r="P253" s="55"/>
      <c r="Q253" s="55"/>
      <c r="R253" s="55"/>
      <c r="S253" s="55"/>
      <c r="U253" s="1">
        <v>54</v>
      </c>
      <c r="V253" s="1">
        <f t="shared" si="15"/>
        <v>0</v>
      </c>
      <c r="W253" s="1">
        <f t="shared" si="16"/>
        <v>366</v>
      </c>
      <c r="X253" s="41">
        <f t="shared" si="26"/>
        <v>144</v>
      </c>
      <c r="Y253" s="55">
        <f t="shared" si="17"/>
        <v>233.05263157894737</v>
      </c>
      <c r="Z253" s="55"/>
      <c r="AA253" s="55"/>
      <c r="AB253" s="1">
        <v>54</v>
      </c>
      <c r="AC253" s="1">
        <f t="shared" si="18"/>
        <v>234</v>
      </c>
      <c r="AD253" s="1">
        <f t="shared" si="19"/>
        <v>336</v>
      </c>
      <c r="AE253" s="41">
        <f t="shared" si="27"/>
        <v>285</v>
      </c>
      <c r="AF253" s="55">
        <f t="shared" si="20"/>
        <v>233.05263157894737</v>
      </c>
      <c r="AG253" s="55" t="e">
        <f>#REF!</f>
        <v>#REF!</v>
      </c>
      <c r="AH253" s="55"/>
      <c r="AI253" s="55"/>
      <c r="AL253" s="1"/>
      <c r="AM253" s="13"/>
      <c r="AN253" s="18"/>
    </row>
    <row r="254" spans="2:40" ht="0.75" customHeight="1">
      <c r="B254" s="1">
        <v>55</v>
      </c>
      <c r="C254" s="13">
        <f t="shared" si="11"/>
        <v>0</v>
      </c>
      <c r="D254" s="1">
        <f t="shared" si="12"/>
        <v>384</v>
      </c>
      <c r="E254" s="41">
        <f t="shared" si="21"/>
        <v>106.66666666666667</v>
      </c>
      <c r="F254" s="55">
        <f t="shared" si="22"/>
        <v>183.7837837837838</v>
      </c>
      <c r="G254" s="55">
        <f t="shared" si="23"/>
        <v>198.4864864864865</v>
      </c>
      <c r="H254" s="1">
        <v>55</v>
      </c>
      <c r="I254" s="1">
        <f t="shared" si="13"/>
        <v>260</v>
      </c>
      <c r="J254" s="1">
        <f t="shared" si="14"/>
        <v>188</v>
      </c>
      <c r="K254" s="41">
        <f t="shared" si="24"/>
        <v>208.57142857142856</v>
      </c>
      <c r="L254" s="55">
        <f t="shared" si="25"/>
        <v>183.7837837837838</v>
      </c>
      <c r="M254" s="55"/>
      <c r="N254" s="55"/>
      <c r="O254" s="55"/>
      <c r="P254" s="55"/>
      <c r="Q254" s="55"/>
      <c r="R254" s="55"/>
      <c r="S254" s="55"/>
      <c r="U254" s="1">
        <v>55</v>
      </c>
      <c r="V254" s="1">
        <f t="shared" si="15"/>
        <v>0</v>
      </c>
      <c r="W254" s="1">
        <f t="shared" si="16"/>
        <v>372</v>
      </c>
      <c r="X254" s="41">
        <f t="shared" si="26"/>
        <v>144</v>
      </c>
      <c r="Y254" s="55">
        <f t="shared" si="17"/>
        <v>233.05263157894737</v>
      </c>
      <c r="Z254" s="55"/>
      <c r="AA254" s="55"/>
      <c r="AB254" s="1">
        <v>55</v>
      </c>
      <c r="AC254" s="1">
        <f t="shared" si="18"/>
        <v>230</v>
      </c>
      <c r="AD254" s="1">
        <f t="shared" si="19"/>
        <v>340</v>
      </c>
      <c r="AE254" s="41">
        <f t="shared" si="27"/>
        <v>285</v>
      </c>
      <c r="AF254" s="55">
        <f t="shared" si="20"/>
        <v>233.05263157894737</v>
      </c>
      <c r="AG254" s="55" t="e">
        <f>#REF!</f>
        <v>#REF!</v>
      </c>
      <c r="AH254" s="55"/>
      <c r="AI254" s="55"/>
      <c r="AL254" s="1"/>
      <c r="AM254" s="13"/>
      <c r="AN254" s="18"/>
    </row>
    <row r="255" spans="2:40" ht="0.75" customHeight="1">
      <c r="B255" s="1">
        <v>56</v>
      </c>
      <c r="C255" s="13">
        <f t="shared" si="11"/>
        <v>0</v>
      </c>
      <c r="D255" s="1">
        <f t="shared" si="12"/>
        <v>390.40000000000003</v>
      </c>
      <c r="E255" s="41">
        <f t="shared" si="21"/>
        <v>106.66666666666667</v>
      </c>
      <c r="F255" s="55">
        <f t="shared" si="22"/>
        <v>183.7837837837838</v>
      </c>
      <c r="G255" s="55">
        <f t="shared" si="23"/>
        <v>198.4864864864865</v>
      </c>
      <c r="H255" s="1">
        <v>56</v>
      </c>
      <c r="I255" s="1">
        <f t="shared" si="13"/>
        <v>256</v>
      </c>
      <c r="J255" s="1">
        <f t="shared" si="14"/>
        <v>189.60000000000002</v>
      </c>
      <c r="K255" s="41">
        <f t="shared" si="24"/>
        <v>208.57142857142856</v>
      </c>
      <c r="L255" s="55">
        <f t="shared" si="25"/>
        <v>183.7837837837838</v>
      </c>
      <c r="M255" s="55"/>
      <c r="N255" s="55"/>
      <c r="O255" s="55"/>
      <c r="P255" s="55"/>
      <c r="Q255" s="55"/>
      <c r="R255" s="55"/>
      <c r="S255" s="55"/>
      <c r="U255" s="1">
        <v>56</v>
      </c>
      <c r="V255" s="1">
        <f t="shared" si="15"/>
        <v>0</v>
      </c>
      <c r="W255" s="1">
        <f t="shared" si="16"/>
        <v>378</v>
      </c>
      <c r="X255" s="41">
        <f t="shared" si="26"/>
        <v>144</v>
      </c>
      <c r="Y255" s="55">
        <f t="shared" si="17"/>
        <v>233.05263157894737</v>
      </c>
      <c r="Z255" s="55"/>
      <c r="AA255" s="55"/>
      <c r="AB255" s="1">
        <v>56</v>
      </c>
      <c r="AC255" s="1">
        <f t="shared" si="18"/>
        <v>226</v>
      </c>
      <c r="AD255" s="1">
        <f t="shared" si="19"/>
        <v>344</v>
      </c>
      <c r="AE255" s="41">
        <f t="shared" si="27"/>
        <v>285</v>
      </c>
      <c r="AF255" s="55">
        <f t="shared" si="20"/>
        <v>233.05263157894737</v>
      </c>
      <c r="AG255" s="55" t="e">
        <f>#REF!</f>
        <v>#REF!</v>
      </c>
      <c r="AH255" s="55"/>
      <c r="AI255" s="55"/>
      <c r="AL255" s="1"/>
      <c r="AM255" s="13"/>
      <c r="AN255" s="18"/>
    </row>
    <row r="256" spans="2:40" ht="0.75" customHeight="1">
      <c r="B256" s="1">
        <v>57</v>
      </c>
      <c r="C256" s="13">
        <f t="shared" si="11"/>
        <v>0</v>
      </c>
      <c r="D256" s="1">
        <f t="shared" si="12"/>
        <v>396.8</v>
      </c>
      <c r="E256" s="41">
        <f t="shared" si="21"/>
        <v>106.66666666666667</v>
      </c>
      <c r="F256" s="55">
        <f t="shared" si="22"/>
        <v>183.7837837837838</v>
      </c>
      <c r="G256" s="55">
        <f t="shared" si="23"/>
        <v>198.4864864864865</v>
      </c>
      <c r="H256" s="1">
        <v>57</v>
      </c>
      <c r="I256" s="1">
        <f t="shared" si="13"/>
        <v>252</v>
      </c>
      <c r="J256" s="1">
        <f t="shared" si="14"/>
        <v>191.2</v>
      </c>
      <c r="K256" s="41">
        <f t="shared" si="24"/>
        <v>208.57142857142856</v>
      </c>
      <c r="L256" s="55">
        <f t="shared" si="25"/>
        <v>183.7837837837838</v>
      </c>
      <c r="M256" s="55"/>
      <c r="N256" s="55"/>
      <c r="O256" s="55"/>
      <c r="P256" s="55"/>
      <c r="Q256" s="55"/>
      <c r="R256" s="55"/>
      <c r="S256" s="55"/>
      <c r="U256" s="1">
        <v>57</v>
      </c>
      <c r="V256" s="1">
        <f t="shared" si="15"/>
        <v>0</v>
      </c>
      <c r="W256" s="1">
        <f t="shared" si="16"/>
        <v>384</v>
      </c>
      <c r="X256" s="41">
        <f t="shared" si="26"/>
        <v>144</v>
      </c>
      <c r="Y256" s="55">
        <f t="shared" si="17"/>
        <v>233.05263157894737</v>
      </c>
      <c r="Z256" s="55"/>
      <c r="AA256" s="55"/>
      <c r="AB256" s="1">
        <v>57</v>
      </c>
      <c r="AC256" s="1">
        <f t="shared" si="18"/>
        <v>222</v>
      </c>
      <c r="AD256" s="1">
        <f t="shared" si="19"/>
        <v>348</v>
      </c>
      <c r="AE256" s="41">
        <f t="shared" si="27"/>
        <v>285</v>
      </c>
      <c r="AF256" s="55">
        <f t="shared" si="20"/>
        <v>233.05263157894737</v>
      </c>
      <c r="AG256" s="55" t="e">
        <f>#REF!</f>
        <v>#REF!</v>
      </c>
      <c r="AH256" s="55"/>
      <c r="AI256" s="55"/>
      <c r="AL256" s="1"/>
      <c r="AM256" s="13"/>
      <c r="AN256" s="18"/>
    </row>
    <row r="257" spans="2:40" ht="0.75" customHeight="1">
      <c r="B257" s="1">
        <v>58</v>
      </c>
      <c r="C257" s="13">
        <f t="shared" si="11"/>
        <v>0</v>
      </c>
      <c r="D257" s="1">
        <f t="shared" si="12"/>
        <v>403.20000000000005</v>
      </c>
      <c r="E257" s="41">
        <f t="shared" si="21"/>
        <v>106.66666666666667</v>
      </c>
      <c r="F257" s="55">
        <f t="shared" si="22"/>
        <v>183.7837837837838</v>
      </c>
      <c r="G257" s="55">
        <f t="shared" si="23"/>
        <v>198.4864864864865</v>
      </c>
      <c r="H257" s="1">
        <v>58</v>
      </c>
      <c r="I257" s="1">
        <f t="shared" si="13"/>
        <v>248</v>
      </c>
      <c r="J257" s="1">
        <f t="shared" si="14"/>
        <v>192.8</v>
      </c>
      <c r="K257" s="41">
        <f t="shared" si="24"/>
        <v>208.57142857142856</v>
      </c>
      <c r="L257" s="55">
        <f t="shared" si="25"/>
        <v>183.7837837837838</v>
      </c>
      <c r="M257" s="55"/>
      <c r="N257" s="55"/>
      <c r="O257" s="55"/>
      <c r="P257" s="55"/>
      <c r="Q257" s="55"/>
      <c r="R257" s="55"/>
      <c r="S257" s="55"/>
      <c r="U257" s="1">
        <v>58</v>
      </c>
      <c r="V257" s="1">
        <f t="shared" si="15"/>
        <v>0</v>
      </c>
      <c r="W257" s="1">
        <f t="shared" si="16"/>
        <v>390</v>
      </c>
      <c r="X257" s="41">
        <f t="shared" si="26"/>
        <v>144</v>
      </c>
      <c r="Y257" s="55">
        <f t="shared" si="17"/>
        <v>233.05263157894737</v>
      </c>
      <c r="Z257" s="55"/>
      <c r="AA257" s="55"/>
      <c r="AB257" s="1">
        <v>58</v>
      </c>
      <c r="AC257" s="1">
        <f t="shared" si="18"/>
        <v>218</v>
      </c>
      <c r="AD257" s="1">
        <f t="shared" si="19"/>
        <v>352</v>
      </c>
      <c r="AE257" s="41">
        <f t="shared" si="27"/>
        <v>285</v>
      </c>
      <c r="AF257" s="55">
        <f t="shared" si="20"/>
        <v>233.05263157894737</v>
      </c>
      <c r="AG257" s="55" t="e">
        <f>#REF!</f>
        <v>#REF!</v>
      </c>
      <c r="AH257" s="55"/>
      <c r="AI257" s="55"/>
      <c r="AL257" s="1"/>
      <c r="AM257" s="13"/>
      <c r="AN257" s="18"/>
    </row>
    <row r="258" spans="2:40" ht="0.75" customHeight="1">
      <c r="B258" s="1">
        <v>59</v>
      </c>
      <c r="C258" s="13">
        <f t="shared" si="11"/>
        <v>0</v>
      </c>
      <c r="D258" s="1">
        <f t="shared" si="12"/>
        <v>409.6</v>
      </c>
      <c r="E258" s="41">
        <f t="shared" si="21"/>
        <v>106.66666666666667</v>
      </c>
      <c r="F258" s="55">
        <f t="shared" si="22"/>
        <v>183.7837837837838</v>
      </c>
      <c r="G258" s="55">
        <f t="shared" si="23"/>
        <v>198.4864864864865</v>
      </c>
      <c r="H258" s="1">
        <v>59</v>
      </c>
      <c r="I258" s="1">
        <f t="shared" si="13"/>
        <v>244</v>
      </c>
      <c r="J258" s="1">
        <f t="shared" si="14"/>
        <v>194.4</v>
      </c>
      <c r="K258" s="41">
        <f t="shared" si="24"/>
        <v>208.57142857142856</v>
      </c>
      <c r="L258" s="55">
        <f t="shared" si="25"/>
        <v>183.7837837837838</v>
      </c>
      <c r="M258" s="55"/>
      <c r="N258" s="55"/>
      <c r="O258" s="55"/>
      <c r="P258" s="55"/>
      <c r="Q258" s="55"/>
      <c r="R258" s="55"/>
      <c r="S258" s="55"/>
      <c r="U258" s="1">
        <v>59</v>
      </c>
      <c r="V258" s="1">
        <f t="shared" si="15"/>
        <v>0</v>
      </c>
      <c r="W258" s="1">
        <f t="shared" si="16"/>
        <v>396</v>
      </c>
      <c r="X258" s="41">
        <f t="shared" si="26"/>
        <v>144</v>
      </c>
      <c r="Y258" s="55">
        <f t="shared" si="17"/>
        <v>233.05263157894737</v>
      </c>
      <c r="Z258" s="55"/>
      <c r="AA258" s="55"/>
      <c r="AB258" s="1">
        <v>59</v>
      </c>
      <c r="AC258" s="1">
        <f t="shared" si="18"/>
        <v>214</v>
      </c>
      <c r="AD258" s="1">
        <f t="shared" si="19"/>
        <v>356</v>
      </c>
      <c r="AE258" s="41">
        <f t="shared" si="27"/>
        <v>285</v>
      </c>
      <c r="AF258" s="55">
        <f t="shared" si="20"/>
        <v>233.05263157894737</v>
      </c>
      <c r="AG258" s="55" t="e">
        <f>#REF!</f>
        <v>#REF!</v>
      </c>
      <c r="AH258" s="55"/>
      <c r="AI258" s="55"/>
      <c r="AL258" s="1"/>
      <c r="AM258" s="13"/>
      <c r="AN258" s="18"/>
    </row>
    <row r="259" spans="2:40" ht="0.75" customHeight="1">
      <c r="B259" s="1">
        <v>60</v>
      </c>
      <c r="C259" s="13">
        <f t="shared" si="11"/>
        <v>0</v>
      </c>
      <c r="D259" s="1">
        <f t="shared" si="12"/>
        <v>416</v>
      </c>
      <c r="E259" s="41">
        <f t="shared" si="21"/>
        <v>106.66666666666667</v>
      </c>
      <c r="F259" s="55">
        <f t="shared" si="22"/>
        <v>183.7837837837838</v>
      </c>
      <c r="G259" s="55">
        <f t="shared" si="23"/>
        <v>198.4864864864865</v>
      </c>
      <c r="H259" s="1">
        <v>60</v>
      </c>
      <c r="I259" s="1">
        <f t="shared" si="13"/>
        <v>240</v>
      </c>
      <c r="J259" s="1">
        <f t="shared" si="14"/>
        <v>196</v>
      </c>
      <c r="K259" s="41">
        <f t="shared" si="24"/>
        <v>208.57142857142856</v>
      </c>
      <c r="L259" s="55">
        <f t="shared" si="25"/>
        <v>183.7837837837838</v>
      </c>
      <c r="M259" s="55"/>
      <c r="N259" s="55"/>
      <c r="O259" s="55"/>
      <c r="P259" s="55"/>
      <c r="Q259" s="55"/>
      <c r="R259" s="55"/>
      <c r="S259" s="55"/>
      <c r="U259" s="1">
        <v>60</v>
      </c>
      <c r="V259" s="1">
        <f t="shared" si="15"/>
        <v>0</v>
      </c>
      <c r="W259" s="1">
        <f t="shared" si="16"/>
        <v>402</v>
      </c>
      <c r="X259" s="41">
        <f t="shared" si="26"/>
        <v>144</v>
      </c>
      <c r="Y259" s="55">
        <f t="shared" si="17"/>
        <v>233.05263157894737</v>
      </c>
      <c r="Z259" s="55"/>
      <c r="AA259" s="55"/>
      <c r="AB259" s="1">
        <v>60</v>
      </c>
      <c r="AC259" s="1">
        <f t="shared" si="18"/>
        <v>210</v>
      </c>
      <c r="AD259" s="1">
        <f t="shared" si="19"/>
        <v>360</v>
      </c>
      <c r="AE259" s="41">
        <f t="shared" si="27"/>
        <v>285</v>
      </c>
      <c r="AF259" s="55">
        <f t="shared" si="20"/>
        <v>233.05263157894737</v>
      </c>
      <c r="AG259" s="55" t="e">
        <f>#REF!</f>
        <v>#REF!</v>
      </c>
      <c r="AH259" s="55"/>
      <c r="AI259" s="55"/>
      <c r="AL259" s="1"/>
      <c r="AM259" s="13"/>
      <c r="AN259" s="18"/>
    </row>
    <row r="260" spans="2:40" ht="0.75" customHeight="1">
      <c r="B260" s="1">
        <v>61</v>
      </c>
      <c r="C260" s="13">
        <f t="shared" si="11"/>
        <v>0</v>
      </c>
      <c r="D260" s="1">
        <f t="shared" si="12"/>
        <v>422.40000000000003</v>
      </c>
      <c r="E260" s="41">
        <f t="shared" si="21"/>
        <v>106.66666666666667</v>
      </c>
      <c r="F260" s="55">
        <f t="shared" si="22"/>
        <v>183.7837837837838</v>
      </c>
      <c r="G260" s="55">
        <f t="shared" si="23"/>
        <v>198.4864864864865</v>
      </c>
      <c r="H260" s="1">
        <v>61</v>
      </c>
      <c r="I260" s="1">
        <f t="shared" si="13"/>
        <v>236</v>
      </c>
      <c r="J260" s="1">
        <f t="shared" si="14"/>
        <v>197.60000000000002</v>
      </c>
      <c r="K260" s="41">
        <f t="shared" si="24"/>
        <v>208.57142857142856</v>
      </c>
      <c r="L260" s="55">
        <f t="shared" si="25"/>
        <v>183.7837837837838</v>
      </c>
      <c r="M260" s="55"/>
      <c r="N260" s="55"/>
      <c r="O260" s="55"/>
      <c r="P260" s="55"/>
      <c r="Q260" s="55"/>
      <c r="R260" s="55"/>
      <c r="S260" s="55"/>
      <c r="U260" s="1">
        <v>61</v>
      </c>
      <c r="V260" s="1">
        <f t="shared" si="15"/>
        <v>0</v>
      </c>
      <c r="W260" s="1">
        <f t="shared" si="16"/>
        <v>408</v>
      </c>
      <c r="X260" s="41">
        <f t="shared" si="26"/>
        <v>144</v>
      </c>
      <c r="Y260" s="55">
        <f t="shared" si="17"/>
        <v>233.05263157894737</v>
      </c>
      <c r="Z260" s="55"/>
      <c r="AA260" s="55"/>
      <c r="AB260" s="1">
        <v>61</v>
      </c>
      <c r="AC260" s="1">
        <f t="shared" si="18"/>
        <v>206</v>
      </c>
      <c r="AD260" s="1">
        <f t="shared" si="19"/>
        <v>364</v>
      </c>
      <c r="AE260" s="41">
        <f t="shared" si="27"/>
        <v>285</v>
      </c>
      <c r="AF260" s="55">
        <f t="shared" si="20"/>
        <v>233.05263157894737</v>
      </c>
      <c r="AG260" s="55" t="e">
        <f>#REF!</f>
        <v>#REF!</v>
      </c>
      <c r="AH260" s="55"/>
      <c r="AI260" s="55"/>
      <c r="AL260" s="1"/>
      <c r="AM260" s="13"/>
      <c r="AN260" s="18"/>
    </row>
    <row r="261" spans="2:40" ht="0.75" customHeight="1">
      <c r="B261" s="1">
        <v>62</v>
      </c>
      <c r="C261" s="13">
        <f t="shared" si="11"/>
        <v>0</v>
      </c>
      <c r="D261" s="1">
        <f t="shared" si="12"/>
        <v>428.8</v>
      </c>
      <c r="E261" s="41">
        <f t="shared" si="21"/>
        <v>106.66666666666667</v>
      </c>
      <c r="F261" s="55">
        <f t="shared" si="22"/>
        <v>183.7837837837838</v>
      </c>
      <c r="G261" s="55">
        <f t="shared" si="23"/>
        <v>198.4864864864865</v>
      </c>
      <c r="H261" s="1">
        <v>62</v>
      </c>
      <c r="I261" s="1">
        <f t="shared" si="13"/>
        <v>232</v>
      </c>
      <c r="J261" s="1">
        <f t="shared" si="14"/>
        <v>199.2</v>
      </c>
      <c r="K261" s="41">
        <f t="shared" si="24"/>
        <v>208.57142857142856</v>
      </c>
      <c r="L261" s="55">
        <f t="shared" si="25"/>
        <v>183.7837837837838</v>
      </c>
      <c r="M261" s="55"/>
      <c r="N261" s="55"/>
      <c r="O261" s="55"/>
      <c r="P261" s="55"/>
      <c r="Q261" s="55"/>
      <c r="R261" s="55"/>
      <c r="S261" s="55"/>
      <c r="U261" s="1">
        <v>62</v>
      </c>
      <c r="V261" s="1">
        <f t="shared" si="15"/>
        <v>0</v>
      </c>
      <c r="W261" s="1">
        <f t="shared" si="16"/>
        <v>414</v>
      </c>
      <c r="X261" s="41">
        <f t="shared" si="26"/>
        <v>144</v>
      </c>
      <c r="Y261" s="55">
        <f t="shared" si="17"/>
        <v>233.05263157894737</v>
      </c>
      <c r="Z261" s="55"/>
      <c r="AA261" s="55"/>
      <c r="AB261" s="1">
        <v>62</v>
      </c>
      <c r="AC261" s="1">
        <f t="shared" si="18"/>
        <v>202</v>
      </c>
      <c r="AD261" s="1">
        <f t="shared" si="19"/>
        <v>368</v>
      </c>
      <c r="AE261" s="41">
        <f t="shared" si="27"/>
        <v>285</v>
      </c>
      <c r="AF261" s="55">
        <f t="shared" si="20"/>
        <v>233.05263157894737</v>
      </c>
      <c r="AG261" s="55" t="e">
        <f>#REF!</f>
        <v>#REF!</v>
      </c>
      <c r="AH261" s="55"/>
      <c r="AI261" s="55"/>
      <c r="AL261" s="1"/>
      <c r="AM261" s="13"/>
      <c r="AN261" s="18"/>
    </row>
    <row r="262" spans="2:40" ht="0.75" customHeight="1">
      <c r="B262" s="1">
        <v>63</v>
      </c>
      <c r="C262" s="13">
        <f t="shared" si="11"/>
        <v>0</v>
      </c>
      <c r="D262" s="1">
        <f t="shared" si="12"/>
        <v>435.20000000000005</v>
      </c>
      <c r="E262" s="41">
        <f t="shared" si="21"/>
        <v>106.66666666666667</v>
      </c>
      <c r="F262" s="55">
        <f t="shared" si="22"/>
        <v>183.7837837837838</v>
      </c>
      <c r="G262" s="55">
        <f t="shared" si="23"/>
        <v>198.4864864864865</v>
      </c>
      <c r="H262" s="1">
        <v>63</v>
      </c>
      <c r="I262" s="1">
        <f t="shared" si="13"/>
        <v>228</v>
      </c>
      <c r="J262" s="1">
        <f t="shared" si="14"/>
        <v>200.8</v>
      </c>
      <c r="K262" s="41">
        <f t="shared" si="24"/>
        <v>208.57142857142856</v>
      </c>
      <c r="L262" s="55">
        <f t="shared" si="25"/>
        <v>183.7837837837838</v>
      </c>
      <c r="M262" s="55"/>
      <c r="N262" s="55"/>
      <c r="O262" s="55"/>
      <c r="P262" s="55"/>
      <c r="Q262" s="55"/>
      <c r="R262" s="55"/>
      <c r="S262" s="55"/>
      <c r="U262" s="1">
        <v>63</v>
      </c>
      <c r="V262" s="1">
        <f t="shared" si="15"/>
        <v>0</v>
      </c>
      <c r="W262" s="1">
        <f t="shared" si="16"/>
        <v>420</v>
      </c>
      <c r="X262" s="41">
        <f t="shared" si="26"/>
        <v>144</v>
      </c>
      <c r="Y262" s="55">
        <f t="shared" si="17"/>
        <v>233.05263157894737</v>
      </c>
      <c r="Z262" s="55"/>
      <c r="AA262" s="55"/>
      <c r="AB262" s="1">
        <v>63</v>
      </c>
      <c r="AC262" s="1">
        <f t="shared" si="18"/>
        <v>198</v>
      </c>
      <c r="AD262" s="1">
        <f t="shared" si="19"/>
        <v>372</v>
      </c>
      <c r="AE262" s="41">
        <f t="shared" si="27"/>
        <v>285</v>
      </c>
      <c r="AF262" s="55">
        <f t="shared" si="20"/>
        <v>233.05263157894737</v>
      </c>
      <c r="AG262" s="55" t="e">
        <f>#REF!</f>
        <v>#REF!</v>
      </c>
      <c r="AH262" s="55"/>
      <c r="AI262" s="55"/>
      <c r="AL262" s="1"/>
      <c r="AM262" s="13"/>
      <c r="AN262" s="18"/>
    </row>
    <row r="263" spans="2:40" ht="0.75" customHeight="1">
      <c r="B263" s="1">
        <v>64</v>
      </c>
      <c r="C263" s="13">
        <f t="shared" si="11"/>
        <v>0</v>
      </c>
      <c r="D263" s="1">
        <f t="shared" si="12"/>
        <v>441.6</v>
      </c>
      <c r="E263" s="41">
        <f aca="true" t="shared" si="28" ref="E263:E281">$E$111</f>
        <v>106.66666666666667</v>
      </c>
      <c r="F263" s="55">
        <f aca="true" t="shared" si="29" ref="F263:F281">$F$123</f>
        <v>183.7837837837838</v>
      </c>
      <c r="G263" s="55">
        <f aca="true" t="shared" si="30" ref="G263:G281">$H$150</f>
        <v>198.4864864864865</v>
      </c>
      <c r="H263" s="1">
        <v>64</v>
      </c>
      <c r="I263" s="1">
        <f t="shared" si="13"/>
        <v>224</v>
      </c>
      <c r="J263" s="1">
        <f t="shared" si="14"/>
        <v>202.4</v>
      </c>
      <c r="K263" s="41">
        <f aca="true" t="shared" si="31" ref="K263:K281">$F$111</f>
        <v>208.57142857142856</v>
      </c>
      <c r="L263" s="55">
        <f aca="true" t="shared" si="32" ref="L263:L281">$F$123</f>
        <v>183.7837837837838</v>
      </c>
      <c r="M263" s="55"/>
      <c r="N263" s="55"/>
      <c r="O263" s="55"/>
      <c r="P263" s="55"/>
      <c r="Q263" s="55"/>
      <c r="R263" s="55"/>
      <c r="S263" s="55"/>
      <c r="U263" s="1">
        <v>64</v>
      </c>
      <c r="V263" s="1">
        <f t="shared" si="15"/>
        <v>0</v>
      </c>
      <c r="W263" s="1">
        <f t="shared" si="16"/>
        <v>426</v>
      </c>
      <c r="X263" s="41">
        <f aca="true" t="shared" si="33" ref="X263:X281">$W$111</f>
        <v>144</v>
      </c>
      <c r="Y263" s="55">
        <f t="shared" si="17"/>
        <v>233.05263157894737</v>
      </c>
      <c r="Z263" s="55"/>
      <c r="AA263" s="55"/>
      <c r="AB263" s="1">
        <v>64</v>
      </c>
      <c r="AC263" s="1">
        <f t="shared" si="18"/>
        <v>194</v>
      </c>
      <c r="AD263" s="1">
        <f t="shared" si="19"/>
        <v>376</v>
      </c>
      <c r="AE263" s="41">
        <f aca="true" t="shared" si="34" ref="AE263:AE281">$X$111</f>
        <v>285</v>
      </c>
      <c r="AF263" s="55">
        <f t="shared" si="20"/>
        <v>233.05263157894737</v>
      </c>
      <c r="AG263" s="55" t="e">
        <f>#REF!</f>
        <v>#REF!</v>
      </c>
      <c r="AH263" s="55"/>
      <c r="AI263" s="55"/>
      <c r="AL263" s="1"/>
      <c r="AM263" s="13"/>
      <c r="AN263" s="18"/>
    </row>
    <row r="264" spans="2:40" ht="0.75" customHeight="1">
      <c r="B264" s="1">
        <v>65</v>
      </c>
      <c r="C264" s="13">
        <f t="shared" si="11"/>
        <v>0</v>
      </c>
      <c r="D264" s="1">
        <f t="shared" si="12"/>
        <v>448</v>
      </c>
      <c r="E264" s="41">
        <f t="shared" si="28"/>
        <v>106.66666666666667</v>
      </c>
      <c r="F264" s="55">
        <f t="shared" si="29"/>
        <v>183.7837837837838</v>
      </c>
      <c r="G264" s="55">
        <f t="shared" si="30"/>
        <v>198.4864864864865</v>
      </c>
      <c r="H264" s="1">
        <v>65</v>
      </c>
      <c r="I264" s="1">
        <f t="shared" si="13"/>
        <v>220</v>
      </c>
      <c r="J264" s="1">
        <f t="shared" si="14"/>
        <v>204</v>
      </c>
      <c r="K264" s="41">
        <f t="shared" si="31"/>
        <v>208.57142857142856</v>
      </c>
      <c r="L264" s="55">
        <f t="shared" si="32"/>
        <v>183.7837837837838</v>
      </c>
      <c r="M264" s="55"/>
      <c r="N264" s="55"/>
      <c r="O264" s="55"/>
      <c r="P264" s="55"/>
      <c r="Q264" s="55"/>
      <c r="R264" s="55"/>
      <c r="S264" s="55"/>
      <c r="U264" s="1">
        <v>65</v>
      </c>
      <c r="V264" s="1">
        <f t="shared" si="15"/>
        <v>0</v>
      </c>
      <c r="W264" s="1">
        <f t="shared" si="16"/>
        <v>432</v>
      </c>
      <c r="X264" s="41">
        <f t="shared" si="33"/>
        <v>144</v>
      </c>
      <c r="Y264" s="55">
        <f t="shared" si="17"/>
        <v>233.05263157894737</v>
      </c>
      <c r="Z264" s="55"/>
      <c r="AA264" s="55"/>
      <c r="AB264" s="1">
        <v>65</v>
      </c>
      <c r="AC264" s="1">
        <f t="shared" si="18"/>
        <v>190</v>
      </c>
      <c r="AD264" s="1">
        <f t="shared" si="19"/>
        <v>380</v>
      </c>
      <c r="AE264" s="41">
        <f t="shared" si="34"/>
        <v>285</v>
      </c>
      <c r="AF264" s="55">
        <f t="shared" si="20"/>
        <v>233.05263157894737</v>
      </c>
      <c r="AG264" s="55" t="e">
        <f>#REF!</f>
        <v>#REF!</v>
      </c>
      <c r="AH264" s="55"/>
      <c r="AI264" s="55"/>
      <c r="AL264" s="1"/>
      <c r="AM264" s="13"/>
      <c r="AN264" s="18"/>
    </row>
    <row r="265" spans="2:40" ht="0.75" customHeight="1">
      <c r="B265" s="1">
        <v>66</v>
      </c>
      <c r="C265" s="13">
        <f aca="true" t="shared" si="35" ref="C265:C281">IF(C264&gt;0,$D$100+$E$100*B265,0)</f>
        <v>0</v>
      </c>
      <c r="D265" s="1">
        <f aca="true" t="shared" si="36" ref="D265:D281">IF(D264&gt;0,$D$101+$E$101*B265,0)</f>
        <v>454.40000000000003</v>
      </c>
      <c r="E265" s="41">
        <f t="shared" si="28"/>
        <v>106.66666666666667</v>
      </c>
      <c r="F265" s="55">
        <f t="shared" si="29"/>
        <v>183.7837837837838</v>
      </c>
      <c r="G265" s="55">
        <f t="shared" si="30"/>
        <v>198.4864864864865</v>
      </c>
      <c r="H265" s="1">
        <v>66</v>
      </c>
      <c r="I265" s="1">
        <f aca="true" t="shared" si="37" ref="I265:I281">IF(I264&gt;0,$I$100+$J$100*H265,0)</f>
        <v>216</v>
      </c>
      <c r="J265" s="1">
        <f aca="true" t="shared" si="38" ref="J265:J281">IF(J264&gt;0,$I$101+$J$101*H265,0)</f>
        <v>205.60000000000002</v>
      </c>
      <c r="K265" s="41">
        <f t="shared" si="31"/>
        <v>208.57142857142856</v>
      </c>
      <c r="L265" s="55">
        <f t="shared" si="32"/>
        <v>183.7837837837838</v>
      </c>
      <c r="M265" s="55"/>
      <c r="N265" s="55"/>
      <c r="O265" s="55"/>
      <c r="P265" s="55"/>
      <c r="Q265" s="55"/>
      <c r="R265" s="55"/>
      <c r="S265" s="55"/>
      <c r="U265" s="1">
        <v>66</v>
      </c>
      <c r="V265" s="1">
        <f aca="true" t="shared" si="39" ref="V265:V281">IF(V264&gt;0,$V$100+$W$100*U265,0)</f>
        <v>0</v>
      </c>
      <c r="W265" s="1">
        <f aca="true" t="shared" si="40" ref="W265:W281">IF(W264&gt;0,$V$101+$W$101*U265,0)</f>
        <v>438</v>
      </c>
      <c r="X265" s="41">
        <f t="shared" si="33"/>
        <v>144</v>
      </c>
      <c r="Y265" s="55">
        <f aca="true" t="shared" si="41" ref="Y265:Y281">$X$124</f>
        <v>233.05263157894737</v>
      </c>
      <c r="Z265" s="55"/>
      <c r="AA265" s="55"/>
      <c r="AB265" s="1">
        <v>66</v>
      </c>
      <c r="AC265" s="1">
        <f aca="true" t="shared" si="42" ref="AC265:AC281">IF(AC264&gt;0,$AB$100+$AC$100*AB265,0)</f>
        <v>186</v>
      </c>
      <c r="AD265" s="1">
        <f aca="true" t="shared" si="43" ref="AD265:AD281">IF(AD264&gt;0,$AB$101+$AC$101*AB265,0)</f>
        <v>384</v>
      </c>
      <c r="AE265" s="41">
        <f t="shared" si="34"/>
        <v>285</v>
      </c>
      <c r="AF265" s="55">
        <f aca="true" t="shared" si="44" ref="AF265:AF281">$X$124</f>
        <v>233.05263157894737</v>
      </c>
      <c r="AG265" s="55" t="e">
        <f>#REF!</f>
        <v>#REF!</v>
      </c>
      <c r="AH265" s="55"/>
      <c r="AI265" s="55"/>
      <c r="AL265" s="1"/>
      <c r="AM265" s="13"/>
      <c r="AN265" s="18"/>
    </row>
    <row r="266" spans="2:40" ht="0.75" customHeight="1">
      <c r="B266" s="1">
        <v>67</v>
      </c>
      <c r="C266" s="13">
        <f t="shared" si="35"/>
        <v>0</v>
      </c>
      <c r="D266" s="1">
        <f t="shared" si="36"/>
        <v>460.8</v>
      </c>
      <c r="E266" s="41">
        <f t="shared" si="28"/>
        <v>106.66666666666667</v>
      </c>
      <c r="F266" s="55">
        <f t="shared" si="29"/>
        <v>183.7837837837838</v>
      </c>
      <c r="G266" s="55">
        <f t="shared" si="30"/>
        <v>198.4864864864865</v>
      </c>
      <c r="H266" s="1">
        <v>67</v>
      </c>
      <c r="I266" s="1">
        <f t="shared" si="37"/>
        <v>212</v>
      </c>
      <c r="J266" s="1">
        <f t="shared" si="38"/>
        <v>207.2</v>
      </c>
      <c r="K266" s="41">
        <f t="shared" si="31"/>
        <v>208.57142857142856</v>
      </c>
      <c r="L266" s="55">
        <f t="shared" si="32"/>
        <v>183.7837837837838</v>
      </c>
      <c r="M266" s="55"/>
      <c r="N266" s="55"/>
      <c r="O266" s="55"/>
      <c r="P266" s="55"/>
      <c r="Q266" s="55"/>
      <c r="R266" s="55"/>
      <c r="S266" s="55"/>
      <c r="U266" s="1">
        <v>67</v>
      </c>
      <c r="V266" s="1">
        <f t="shared" si="39"/>
        <v>0</v>
      </c>
      <c r="W266" s="1">
        <f t="shared" si="40"/>
        <v>444</v>
      </c>
      <c r="X266" s="41">
        <f t="shared" si="33"/>
        <v>144</v>
      </c>
      <c r="Y266" s="55">
        <f t="shared" si="41"/>
        <v>233.05263157894737</v>
      </c>
      <c r="Z266" s="55"/>
      <c r="AA266" s="55"/>
      <c r="AB266" s="1">
        <v>67</v>
      </c>
      <c r="AC266" s="1">
        <f t="shared" si="42"/>
        <v>182</v>
      </c>
      <c r="AD266" s="1">
        <f t="shared" si="43"/>
        <v>388</v>
      </c>
      <c r="AE266" s="41">
        <f t="shared" si="34"/>
        <v>285</v>
      </c>
      <c r="AF266" s="55">
        <f t="shared" si="44"/>
        <v>233.05263157894737</v>
      </c>
      <c r="AG266" s="55" t="e">
        <f>#REF!</f>
        <v>#REF!</v>
      </c>
      <c r="AH266" s="55"/>
      <c r="AI266" s="55"/>
      <c r="AL266" s="1"/>
      <c r="AM266" s="13"/>
      <c r="AN266" s="18"/>
    </row>
    <row r="267" spans="2:40" ht="0.75" customHeight="1">
      <c r="B267" s="1">
        <v>68</v>
      </c>
      <c r="C267" s="13">
        <f t="shared" si="35"/>
        <v>0</v>
      </c>
      <c r="D267" s="1">
        <f t="shared" si="36"/>
        <v>467.20000000000005</v>
      </c>
      <c r="E267" s="41">
        <f t="shared" si="28"/>
        <v>106.66666666666667</v>
      </c>
      <c r="F267" s="55">
        <f t="shared" si="29"/>
        <v>183.7837837837838</v>
      </c>
      <c r="G267" s="55">
        <f t="shared" si="30"/>
        <v>198.4864864864865</v>
      </c>
      <c r="H267" s="1">
        <v>68</v>
      </c>
      <c r="I267" s="1">
        <f t="shared" si="37"/>
        <v>208</v>
      </c>
      <c r="J267" s="1">
        <f t="shared" si="38"/>
        <v>208.8</v>
      </c>
      <c r="K267" s="41">
        <f t="shared" si="31"/>
        <v>208.57142857142856</v>
      </c>
      <c r="L267" s="55">
        <f t="shared" si="32"/>
        <v>183.7837837837838</v>
      </c>
      <c r="M267" s="55"/>
      <c r="N267" s="55"/>
      <c r="O267" s="55"/>
      <c r="P267" s="55"/>
      <c r="Q267" s="55"/>
      <c r="R267" s="55"/>
      <c r="S267" s="55"/>
      <c r="U267" s="1">
        <v>68</v>
      </c>
      <c r="V267" s="1">
        <f t="shared" si="39"/>
        <v>0</v>
      </c>
      <c r="W267" s="1">
        <f t="shared" si="40"/>
        <v>450</v>
      </c>
      <c r="X267" s="41">
        <f t="shared" si="33"/>
        <v>144</v>
      </c>
      <c r="Y267" s="55">
        <f t="shared" si="41"/>
        <v>233.05263157894737</v>
      </c>
      <c r="Z267" s="55"/>
      <c r="AA267" s="55"/>
      <c r="AB267" s="1">
        <v>68</v>
      </c>
      <c r="AC267" s="1">
        <f t="shared" si="42"/>
        <v>178</v>
      </c>
      <c r="AD267" s="1">
        <f t="shared" si="43"/>
        <v>392</v>
      </c>
      <c r="AE267" s="41">
        <f t="shared" si="34"/>
        <v>285</v>
      </c>
      <c r="AF267" s="55">
        <f t="shared" si="44"/>
        <v>233.05263157894737</v>
      </c>
      <c r="AG267" s="55" t="e">
        <f>#REF!</f>
        <v>#REF!</v>
      </c>
      <c r="AH267" s="55"/>
      <c r="AI267" s="55"/>
      <c r="AL267" s="1"/>
      <c r="AM267" s="13"/>
      <c r="AN267" s="18"/>
    </row>
    <row r="268" spans="2:40" ht="0.75" customHeight="1">
      <c r="B268" s="1">
        <v>69</v>
      </c>
      <c r="C268" s="13">
        <f t="shared" si="35"/>
        <v>0</v>
      </c>
      <c r="D268" s="1">
        <f t="shared" si="36"/>
        <v>473.6</v>
      </c>
      <c r="E268" s="41">
        <f t="shared" si="28"/>
        <v>106.66666666666667</v>
      </c>
      <c r="F268" s="55">
        <f t="shared" si="29"/>
        <v>183.7837837837838</v>
      </c>
      <c r="G268" s="55">
        <f t="shared" si="30"/>
        <v>198.4864864864865</v>
      </c>
      <c r="H268" s="1">
        <v>69</v>
      </c>
      <c r="I268" s="1">
        <f t="shared" si="37"/>
        <v>204</v>
      </c>
      <c r="J268" s="1">
        <f t="shared" si="38"/>
        <v>210.4</v>
      </c>
      <c r="K268" s="41">
        <f t="shared" si="31"/>
        <v>208.57142857142856</v>
      </c>
      <c r="L268" s="55">
        <f t="shared" si="32"/>
        <v>183.7837837837838</v>
      </c>
      <c r="M268" s="55"/>
      <c r="N268" s="55"/>
      <c r="O268" s="55"/>
      <c r="P268" s="55"/>
      <c r="Q268" s="55"/>
      <c r="R268" s="55"/>
      <c r="S268" s="55"/>
      <c r="U268" s="1">
        <v>69</v>
      </c>
      <c r="V268" s="1">
        <f t="shared" si="39"/>
        <v>0</v>
      </c>
      <c r="W268" s="1">
        <f t="shared" si="40"/>
        <v>456</v>
      </c>
      <c r="X268" s="41">
        <f t="shared" si="33"/>
        <v>144</v>
      </c>
      <c r="Y268" s="55">
        <f t="shared" si="41"/>
        <v>233.05263157894737</v>
      </c>
      <c r="Z268" s="55"/>
      <c r="AA268" s="55"/>
      <c r="AB268" s="1">
        <v>69</v>
      </c>
      <c r="AC268" s="1">
        <f t="shared" si="42"/>
        <v>174</v>
      </c>
      <c r="AD268" s="1">
        <f t="shared" si="43"/>
        <v>396</v>
      </c>
      <c r="AE268" s="41">
        <f t="shared" si="34"/>
        <v>285</v>
      </c>
      <c r="AF268" s="55">
        <f t="shared" si="44"/>
        <v>233.05263157894737</v>
      </c>
      <c r="AG268" s="55" t="e">
        <f>#REF!</f>
        <v>#REF!</v>
      </c>
      <c r="AH268" s="55"/>
      <c r="AI268" s="55"/>
      <c r="AL268" s="1"/>
      <c r="AM268" s="13"/>
      <c r="AN268" s="18"/>
    </row>
    <row r="269" spans="2:35" ht="0.75" customHeight="1">
      <c r="B269" s="1">
        <v>70</v>
      </c>
      <c r="C269" s="13">
        <f t="shared" si="35"/>
        <v>0</v>
      </c>
      <c r="D269" s="1">
        <f t="shared" si="36"/>
        <v>480</v>
      </c>
      <c r="E269" s="41">
        <f t="shared" si="28"/>
        <v>106.66666666666667</v>
      </c>
      <c r="F269" s="55">
        <f t="shared" si="29"/>
        <v>183.7837837837838</v>
      </c>
      <c r="G269" s="55">
        <f t="shared" si="30"/>
        <v>198.4864864864865</v>
      </c>
      <c r="H269" s="1">
        <v>70</v>
      </c>
      <c r="I269" s="1">
        <f t="shared" si="37"/>
        <v>200</v>
      </c>
      <c r="J269" s="1">
        <f t="shared" si="38"/>
        <v>212</v>
      </c>
      <c r="K269" s="41">
        <f t="shared" si="31"/>
        <v>208.57142857142856</v>
      </c>
      <c r="L269" s="55">
        <f t="shared" si="32"/>
        <v>183.7837837837838</v>
      </c>
      <c r="M269" s="55"/>
      <c r="N269" s="55"/>
      <c r="O269" s="55"/>
      <c r="P269" s="55"/>
      <c r="Q269" s="55"/>
      <c r="R269" s="55"/>
      <c r="S269" s="55"/>
      <c r="U269" s="1">
        <v>70</v>
      </c>
      <c r="V269" s="1">
        <f t="shared" si="39"/>
        <v>0</v>
      </c>
      <c r="W269" s="1">
        <f t="shared" si="40"/>
        <v>462</v>
      </c>
      <c r="X269" s="41">
        <f t="shared" si="33"/>
        <v>144</v>
      </c>
      <c r="Y269" s="55">
        <f t="shared" si="41"/>
        <v>233.05263157894737</v>
      </c>
      <c r="Z269" s="55"/>
      <c r="AA269" s="55"/>
      <c r="AB269" s="1">
        <v>70</v>
      </c>
      <c r="AC269" s="1">
        <f t="shared" si="42"/>
        <v>170</v>
      </c>
      <c r="AD269" s="1">
        <f t="shared" si="43"/>
        <v>400</v>
      </c>
      <c r="AE269" s="41">
        <f t="shared" si="34"/>
        <v>285</v>
      </c>
      <c r="AF269" s="55">
        <f t="shared" si="44"/>
        <v>233.05263157894737</v>
      </c>
      <c r="AG269" s="55" t="e">
        <f>#REF!</f>
        <v>#REF!</v>
      </c>
      <c r="AH269" s="55"/>
      <c r="AI269" s="55"/>
    </row>
    <row r="270" spans="2:39" ht="0.75" customHeight="1">
      <c r="B270" s="1">
        <v>71</v>
      </c>
      <c r="C270" s="13">
        <f t="shared" si="35"/>
        <v>0</v>
      </c>
      <c r="D270" s="1">
        <f t="shared" si="36"/>
        <v>486.40000000000003</v>
      </c>
      <c r="E270" s="41">
        <f t="shared" si="28"/>
        <v>106.66666666666667</v>
      </c>
      <c r="F270" s="55">
        <f t="shared" si="29"/>
        <v>183.7837837837838</v>
      </c>
      <c r="G270" s="55">
        <f t="shared" si="30"/>
        <v>198.4864864864865</v>
      </c>
      <c r="H270" s="1">
        <v>71</v>
      </c>
      <c r="I270" s="1">
        <f t="shared" si="37"/>
        <v>196</v>
      </c>
      <c r="J270" s="1">
        <f t="shared" si="38"/>
        <v>213.60000000000002</v>
      </c>
      <c r="K270" s="41">
        <f t="shared" si="31"/>
        <v>208.57142857142856</v>
      </c>
      <c r="L270" s="55">
        <f t="shared" si="32"/>
        <v>183.7837837837838</v>
      </c>
      <c r="M270" s="55"/>
      <c r="N270" s="55"/>
      <c r="O270" s="55"/>
      <c r="P270" s="55"/>
      <c r="Q270" s="55"/>
      <c r="R270" s="55"/>
      <c r="S270" s="55"/>
      <c r="U270" s="1">
        <v>71</v>
      </c>
      <c r="V270" s="1">
        <f t="shared" si="39"/>
        <v>0</v>
      </c>
      <c r="W270" s="1">
        <f t="shared" si="40"/>
        <v>468</v>
      </c>
      <c r="X270" s="41">
        <f t="shared" si="33"/>
        <v>144</v>
      </c>
      <c r="Y270" s="55">
        <f t="shared" si="41"/>
        <v>233.05263157894737</v>
      </c>
      <c r="Z270" s="55"/>
      <c r="AA270" s="55"/>
      <c r="AB270" s="1">
        <v>71</v>
      </c>
      <c r="AC270" s="1">
        <f t="shared" si="42"/>
        <v>166</v>
      </c>
      <c r="AD270" s="1">
        <f t="shared" si="43"/>
        <v>404</v>
      </c>
      <c r="AE270" s="41">
        <f t="shared" si="34"/>
        <v>285</v>
      </c>
      <c r="AF270" s="55">
        <f t="shared" si="44"/>
        <v>233.05263157894737</v>
      </c>
      <c r="AK270" s="13"/>
      <c r="AL270" s="18"/>
      <c r="AM270" s="1"/>
    </row>
    <row r="271" spans="2:39" ht="0.75" customHeight="1">
      <c r="B271" s="1">
        <v>72</v>
      </c>
      <c r="C271" s="13">
        <f t="shared" si="35"/>
        <v>0</v>
      </c>
      <c r="D271" s="1">
        <f t="shared" si="36"/>
        <v>492.8</v>
      </c>
      <c r="E271" s="41">
        <f t="shared" si="28"/>
        <v>106.66666666666667</v>
      </c>
      <c r="F271" s="55">
        <f t="shared" si="29"/>
        <v>183.7837837837838</v>
      </c>
      <c r="G271" s="55">
        <f t="shared" si="30"/>
        <v>198.4864864864865</v>
      </c>
      <c r="H271" s="1">
        <v>72</v>
      </c>
      <c r="I271" s="1">
        <f t="shared" si="37"/>
        <v>192</v>
      </c>
      <c r="J271" s="1">
        <f t="shared" si="38"/>
        <v>215.2</v>
      </c>
      <c r="K271" s="41">
        <f t="shared" si="31"/>
        <v>208.57142857142856</v>
      </c>
      <c r="L271" s="55">
        <f t="shared" si="32"/>
        <v>183.7837837837838</v>
      </c>
      <c r="M271" s="55"/>
      <c r="N271" s="55"/>
      <c r="O271" s="55"/>
      <c r="P271" s="55"/>
      <c r="Q271" s="55"/>
      <c r="R271" s="55"/>
      <c r="S271" s="55"/>
      <c r="U271" s="1">
        <v>72</v>
      </c>
      <c r="V271" s="1">
        <f t="shared" si="39"/>
        <v>0</v>
      </c>
      <c r="W271" s="1">
        <f t="shared" si="40"/>
        <v>474</v>
      </c>
      <c r="X271" s="41">
        <f t="shared" si="33"/>
        <v>144</v>
      </c>
      <c r="Y271" s="55">
        <f t="shared" si="41"/>
        <v>233.05263157894737</v>
      </c>
      <c r="Z271" s="55"/>
      <c r="AA271" s="55"/>
      <c r="AB271" s="1">
        <v>72</v>
      </c>
      <c r="AC271" s="1">
        <f t="shared" si="42"/>
        <v>162</v>
      </c>
      <c r="AD271" s="1">
        <f t="shared" si="43"/>
        <v>408</v>
      </c>
      <c r="AE271" s="41">
        <f t="shared" si="34"/>
        <v>285</v>
      </c>
      <c r="AF271" s="55">
        <f t="shared" si="44"/>
        <v>233.05263157894737</v>
      </c>
      <c r="AK271" s="13"/>
      <c r="AL271" s="18"/>
      <c r="AM271" s="1"/>
    </row>
    <row r="272" spans="2:39" ht="0.75" customHeight="1">
      <c r="B272" s="1">
        <v>73</v>
      </c>
      <c r="C272" s="13">
        <f t="shared" si="35"/>
        <v>0</v>
      </c>
      <c r="D272" s="1">
        <f t="shared" si="36"/>
        <v>499.20000000000005</v>
      </c>
      <c r="E272" s="41">
        <f t="shared" si="28"/>
        <v>106.66666666666667</v>
      </c>
      <c r="F272" s="55">
        <f t="shared" si="29"/>
        <v>183.7837837837838</v>
      </c>
      <c r="G272" s="55">
        <f t="shared" si="30"/>
        <v>198.4864864864865</v>
      </c>
      <c r="H272" s="1">
        <v>73</v>
      </c>
      <c r="I272" s="1">
        <f t="shared" si="37"/>
        <v>188</v>
      </c>
      <c r="J272" s="1">
        <f t="shared" si="38"/>
        <v>216.8</v>
      </c>
      <c r="K272" s="41">
        <f t="shared" si="31"/>
        <v>208.57142857142856</v>
      </c>
      <c r="L272" s="55">
        <f t="shared" si="32"/>
        <v>183.7837837837838</v>
      </c>
      <c r="M272" s="55"/>
      <c r="N272" s="55"/>
      <c r="O272" s="55"/>
      <c r="P272" s="55"/>
      <c r="Q272" s="55"/>
      <c r="R272" s="55"/>
      <c r="S272" s="55"/>
      <c r="U272" s="1">
        <v>73</v>
      </c>
      <c r="V272" s="1">
        <f t="shared" si="39"/>
        <v>0</v>
      </c>
      <c r="W272" s="1">
        <f t="shared" si="40"/>
        <v>480</v>
      </c>
      <c r="X272" s="41">
        <f t="shared" si="33"/>
        <v>144</v>
      </c>
      <c r="Y272" s="55">
        <f t="shared" si="41"/>
        <v>233.05263157894737</v>
      </c>
      <c r="Z272" s="55"/>
      <c r="AA272" s="55"/>
      <c r="AB272" s="1">
        <v>73</v>
      </c>
      <c r="AC272" s="1">
        <f t="shared" si="42"/>
        <v>158</v>
      </c>
      <c r="AD272" s="1">
        <f t="shared" si="43"/>
        <v>412</v>
      </c>
      <c r="AE272" s="41">
        <f t="shared" si="34"/>
        <v>285</v>
      </c>
      <c r="AF272" s="55">
        <f t="shared" si="44"/>
        <v>233.05263157894737</v>
      </c>
      <c r="AK272" s="18"/>
      <c r="AL272" s="1"/>
      <c r="AM272" s="1"/>
    </row>
    <row r="273" spans="2:39" ht="0.75" customHeight="1">
      <c r="B273" s="1">
        <v>74</v>
      </c>
      <c r="C273" s="13">
        <f t="shared" si="35"/>
        <v>0</v>
      </c>
      <c r="D273" s="1">
        <f t="shared" si="36"/>
        <v>505.6</v>
      </c>
      <c r="E273" s="41">
        <f t="shared" si="28"/>
        <v>106.66666666666667</v>
      </c>
      <c r="F273" s="55">
        <f t="shared" si="29"/>
        <v>183.7837837837838</v>
      </c>
      <c r="G273" s="55">
        <f t="shared" si="30"/>
        <v>198.4864864864865</v>
      </c>
      <c r="H273" s="1">
        <v>74</v>
      </c>
      <c r="I273" s="1">
        <f t="shared" si="37"/>
        <v>184</v>
      </c>
      <c r="J273" s="1">
        <f t="shared" si="38"/>
        <v>218.4</v>
      </c>
      <c r="K273" s="41">
        <f t="shared" si="31"/>
        <v>208.57142857142856</v>
      </c>
      <c r="L273" s="55">
        <f t="shared" si="32"/>
        <v>183.7837837837838</v>
      </c>
      <c r="M273" s="55"/>
      <c r="N273" s="55"/>
      <c r="O273" s="55"/>
      <c r="P273" s="55"/>
      <c r="Q273" s="55"/>
      <c r="R273" s="55"/>
      <c r="S273" s="55"/>
      <c r="U273" s="1">
        <v>74</v>
      </c>
      <c r="V273" s="1">
        <f t="shared" si="39"/>
        <v>0</v>
      </c>
      <c r="W273" s="1">
        <f t="shared" si="40"/>
        <v>486</v>
      </c>
      <c r="X273" s="41">
        <f t="shared" si="33"/>
        <v>144</v>
      </c>
      <c r="Y273" s="55">
        <f t="shared" si="41"/>
        <v>233.05263157894737</v>
      </c>
      <c r="Z273" s="55"/>
      <c r="AA273" s="55"/>
      <c r="AB273" s="1">
        <v>74</v>
      </c>
      <c r="AC273" s="1">
        <f t="shared" si="42"/>
        <v>154</v>
      </c>
      <c r="AD273" s="1">
        <f t="shared" si="43"/>
        <v>416</v>
      </c>
      <c r="AE273" s="41">
        <f t="shared" si="34"/>
        <v>285</v>
      </c>
      <c r="AF273" s="55">
        <f t="shared" si="44"/>
        <v>233.05263157894737</v>
      </c>
      <c r="AJ273" s="13"/>
      <c r="AK273" s="18"/>
      <c r="AL273" s="1"/>
      <c r="AM273" s="1"/>
    </row>
    <row r="274" spans="2:39" ht="0.75" customHeight="1">
      <c r="B274" s="1">
        <v>75</v>
      </c>
      <c r="C274" s="13">
        <f t="shared" si="35"/>
        <v>0</v>
      </c>
      <c r="D274" s="1">
        <f t="shared" si="36"/>
        <v>512</v>
      </c>
      <c r="E274" s="41">
        <f t="shared" si="28"/>
        <v>106.66666666666667</v>
      </c>
      <c r="F274" s="55">
        <f t="shared" si="29"/>
        <v>183.7837837837838</v>
      </c>
      <c r="G274" s="55">
        <f t="shared" si="30"/>
        <v>198.4864864864865</v>
      </c>
      <c r="H274" s="1">
        <v>75</v>
      </c>
      <c r="I274" s="1">
        <f t="shared" si="37"/>
        <v>180</v>
      </c>
      <c r="J274" s="1">
        <f t="shared" si="38"/>
        <v>220</v>
      </c>
      <c r="K274" s="41">
        <f t="shared" si="31"/>
        <v>208.57142857142856</v>
      </c>
      <c r="L274" s="55">
        <f t="shared" si="32"/>
        <v>183.7837837837838</v>
      </c>
      <c r="M274" s="55"/>
      <c r="N274" s="55"/>
      <c r="O274" s="55"/>
      <c r="P274" s="55"/>
      <c r="Q274" s="55"/>
      <c r="R274" s="55"/>
      <c r="S274" s="55"/>
      <c r="U274" s="1">
        <v>75</v>
      </c>
      <c r="V274" s="1">
        <f t="shared" si="39"/>
        <v>0</v>
      </c>
      <c r="W274" s="1">
        <f t="shared" si="40"/>
        <v>492</v>
      </c>
      <c r="X274" s="41">
        <f t="shared" si="33"/>
        <v>144</v>
      </c>
      <c r="Y274" s="55">
        <f t="shared" si="41"/>
        <v>233.05263157894737</v>
      </c>
      <c r="Z274" s="55"/>
      <c r="AA274" s="55"/>
      <c r="AB274" s="1">
        <v>75</v>
      </c>
      <c r="AC274" s="1">
        <f t="shared" si="42"/>
        <v>150</v>
      </c>
      <c r="AD274" s="1">
        <f t="shared" si="43"/>
        <v>420</v>
      </c>
      <c r="AE274" s="41">
        <f t="shared" si="34"/>
        <v>285</v>
      </c>
      <c r="AF274" s="55">
        <f t="shared" si="44"/>
        <v>233.05263157894737</v>
      </c>
      <c r="AJ274" s="13"/>
      <c r="AK274" s="18"/>
      <c r="AL274" s="1"/>
      <c r="AM274" s="1"/>
    </row>
    <row r="275" spans="2:39" ht="0.75" customHeight="1">
      <c r="B275" s="1">
        <v>76</v>
      </c>
      <c r="C275" s="13">
        <f t="shared" si="35"/>
        <v>0</v>
      </c>
      <c r="D275" s="1">
        <f t="shared" si="36"/>
        <v>518.4000000000001</v>
      </c>
      <c r="E275" s="41">
        <f t="shared" si="28"/>
        <v>106.66666666666667</v>
      </c>
      <c r="F275" s="55">
        <f t="shared" si="29"/>
        <v>183.7837837837838</v>
      </c>
      <c r="G275" s="55">
        <f t="shared" si="30"/>
        <v>198.4864864864865</v>
      </c>
      <c r="H275" s="1">
        <v>76</v>
      </c>
      <c r="I275" s="1">
        <f t="shared" si="37"/>
        <v>176</v>
      </c>
      <c r="J275" s="1">
        <f t="shared" si="38"/>
        <v>221.60000000000002</v>
      </c>
      <c r="K275" s="41">
        <f t="shared" si="31"/>
        <v>208.57142857142856</v>
      </c>
      <c r="L275" s="55">
        <f t="shared" si="32"/>
        <v>183.7837837837838</v>
      </c>
      <c r="M275" s="55"/>
      <c r="N275" s="55"/>
      <c r="O275" s="55"/>
      <c r="P275" s="55"/>
      <c r="Q275" s="55"/>
      <c r="R275" s="55"/>
      <c r="S275" s="55"/>
      <c r="U275" s="1">
        <v>76</v>
      </c>
      <c r="V275" s="1">
        <f t="shared" si="39"/>
        <v>0</v>
      </c>
      <c r="W275" s="1">
        <f t="shared" si="40"/>
        <v>498</v>
      </c>
      <c r="X275" s="41">
        <f t="shared" si="33"/>
        <v>144</v>
      </c>
      <c r="Y275" s="55">
        <f t="shared" si="41"/>
        <v>233.05263157894737</v>
      </c>
      <c r="Z275" s="55"/>
      <c r="AA275" s="55"/>
      <c r="AB275" s="1">
        <v>76</v>
      </c>
      <c r="AC275" s="1">
        <f t="shared" si="42"/>
        <v>146</v>
      </c>
      <c r="AD275" s="1">
        <f t="shared" si="43"/>
        <v>424</v>
      </c>
      <c r="AE275" s="41">
        <f t="shared" si="34"/>
        <v>285</v>
      </c>
      <c r="AF275" s="55">
        <f t="shared" si="44"/>
        <v>233.05263157894737</v>
      </c>
      <c r="AJ275" s="13"/>
      <c r="AK275" s="18"/>
      <c r="AL275" s="1"/>
      <c r="AM275" s="1"/>
    </row>
    <row r="276" spans="2:39" ht="0.75" customHeight="1">
      <c r="B276" s="1">
        <v>77</v>
      </c>
      <c r="C276" s="13">
        <f t="shared" si="35"/>
        <v>0</v>
      </c>
      <c r="D276" s="1">
        <f t="shared" si="36"/>
        <v>524.8</v>
      </c>
      <c r="E276" s="41">
        <f t="shared" si="28"/>
        <v>106.66666666666667</v>
      </c>
      <c r="F276" s="55">
        <f t="shared" si="29"/>
        <v>183.7837837837838</v>
      </c>
      <c r="G276" s="55">
        <f t="shared" si="30"/>
        <v>198.4864864864865</v>
      </c>
      <c r="H276" s="1">
        <v>77</v>
      </c>
      <c r="I276" s="1">
        <f t="shared" si="37"/>
        <v>172</v>
      </c>
      <c r="J276" s="1">
        <f t="shared" si="38"/>
        <v>223.2</v>
      </c>
      <c r="K276" s="41">
        <f t="shared" si="31"/>
        <v>208.57142857142856</v>
      </c>
      <c r="L276" s="55">
        <f t="shared" si="32"/>
        <v>183.7837837837838</v>
      </c>
      <c r="M276" s="55"/>
      <c r="N276" s="55"/>
      <c r="O276" s="55"/>
      <c r="P276" s="55"/>
      <c r="Q276" s="55"/>
      <c r="R276" s="55"/>
      <c r="S276" s="55"/>
      <c r="U276" s="1">
        <v>77</v>
      </c>
      <c r="V276" s="1">
        <f t="shared" si="39"/>
        <v>0</v>
      </c>
      <c r="W276" s="1">
        <f t="shared" si="40"/>
        <v>504</v>
      </c>
      <c r="X276" s="41">
        <f t="shared" si="33"/>
        <v>144</v>
      </c>
      <c r="Y276" s="55">
        <f t="shared" si="41"/>
        <v>233.05263157894737</v>
      </c>
      <c r="Z276" s="55"/>
      <c r="AA276" s="55"/>
      <c r="AB276" s="1">
        <v>77</v>
      </c>
      <c r="AC276" s="1">
        <f t="shared" si="42"/>
        <v>142</v>
      </c>
      <c r="AD276" s="1">
        <f t="shared" si="43"/>
        <v>428</v>
      </c>
      <c r="AE276" s="41">
        <f t="shared" si="34"/>
        <v>285</v>
      </c>
      <c r="AF276" s="55">
        <f t="shared" si="44"/>
        <v>233.05263157894737</v>
      </c>
      <c r="AJ276" s="13"/>
      <c r="AK276" s="18"/>
      <c r="AL276" s="1"/>
      <c r="AM276" s="1"/>
    </row>
    <row r="277" spans="2:39" ht="0.75" customHeight="1">
      <c r="B277" s="1">
        <v>78</v>
      </c>
      <c r="C277" s="13">
        <f t="shared" si="35"/>
        <v>0</v>
      </c>
      <c r="D277" s="1">
        <f t="shared" si="36"/>
        <v>531.2</v>
      </c>
      <c r="E277" s="41">
        <f t="shared" si="28"/>
        <v>106.66666666666667</v>
      </c>
      <c r="F277" s="55">
        <f t="shared" si="29"/>
        <v>183.7837837837838</v>
      </c>
      <c r="G277" s="55">
        <f t="shared" si="30"/>
        <v>198.4864864864865</v>
      </c>
      <c r="H277" s="1">
        <v>78</v>
      </c>
      <c r="I277" s="1">
        <f t="shared" si="37"/>
        <v>168</v>
      </c>
      <c r="J277" s="1">
        <f t="shared" si="38"/>
        <v>224.8</v>
      </c>
      <c r="K277" s="41">
        <f t="shared" si="31"/>
        <v>208.57142857142856</v>
      </c>
      <c r="L277" s="55">
        <f t="shared" si="32"/>
        <v>183.7837837837838</v>
      </c>
      <c r="M277" s="55"/>
      <c r="N277" s="55"/>
      <c r="O277" s="55"/>
      <c r="P277" s="55"/>
      <c r="Q277" s="55"/>
      <c r="R277" s="55"/>
      <c r="S277" s="55"/>
      <c r="U277" s="1">
        <v>78</v>
      </c>
      <c r="V277" s="1">
        <f t="shared" si="39"/>
        <v>0</v>
      </c>
      <c r="W277" s="1">
        <f t="shared" si="40"/>
        <v>510</v>
      </c>
      <c r="X277" s="41">
        <f t="shared" si="33"/>
        <v>144</v>
      </c>
      <c r="Y277" s="55">
        <f t="shared" si="41"/>
        <v>233.05263157894737</v>
      </c>
      <c r="Z277" s="55"/>
      <c r="AA277" s="55"/>
      <c r="AB277" s="1">
        <v>78</v>
      </c>
      <c r="AC277" s="1">
        <f t="shared" si="42"/>
        <v>138</v>
      </c>
      <c r="AD277" s="1">
        <f t="shared" si="43"/>
        <v>432</v>
      </c>
      <c r="AE277" s="41">
        <f t="shared" si="34"/>
        <v>285</v>
      </c>
      <c r="AF277" s="55">
        <f t="shared" si="44"/>
        <v>233.05263157894737</v>
      </c>
      <c r="AJ277" s="13"/>
      <c r="AK277" s="18"/>
      <c r="AL277" s="1"/>
      <c r="AM277" s="1"/>
    </row>
    <row r="278" spans="2:39" ht="0.75" customHeight="1">
      <c r="B278" s="1">
        <v>79</v>
      </c>
      <c r="C278" s="13">
        <f t="shared" si="35"/>
        <v>0</v>
      </c>
      <c r="D278" s="1">
        <f t="shared" si="36"/>
        <v>537.6</v>
      </c>
      <c r="E278" s="41">
        <f t="shared" si="28"/>
        <v>106.66666666666667</v>
      </c>
      <c r="F278" s="55">
        <f t="shared" si="29"/>
        <v>183.7837837837838</v>
      </c>
      <c r="G278" s="55">
        <f t="shared" si="30"/>
        <v>198.4864864864865</v>
      </c>
      <c r="H278" s="1">
        <v>79</v>
      </c>
      <c r="I278" s="1">
        <f t="shared" si="37"/>
        <v>164</v>
      </c>
      <c r="J278" s="1">
        <f t="shared" si="38"/>
        <v>226.4</v>
      </c>
      <c r="K278" s="41">
        <f t="shared" si="31"/>
        <v>208.57142857142856</v>
      </c>
      <c r="L278" s="55">
        <f t="shared" si="32"/>
        <v>183.7837837837838</v>
      </c>
      <c r="M278" s="55"/>
      <c r="N278" s="55"/>
      <c r="O278" s="55"/>
      <c r="P278" s="55"/>
      <c r="Q278" s="55"/>
      <c r="R278" s="55"/>
      <c r="S278" s="55"/>
      <c r="U278" s="1">
        <v>79</v>
      </c>
      <c r="V278" s="1">
        <f t="shared" si="39"/>
        <v>0</v>
      </c>
      <c r="W278" s="1">
        <f t="shared" si="40"/>
        <v>516</v>
      </c>
      <c r="X278" s="41">
        <f t="shared" si="33"/>
        <v>144</v>
      </c>
      <c r="Y278" s="55">
        <f t="shared" si="41"/>
        <v>233.05263157894737</v>
      </c>
      <c r="Z278" s="55"/>
      <c r="AA278" s="55"/>
      <c r="AB278" s="1">
        <v>79</v>
      </c>
      <c r="AC278" s="1">
        <f t="shared" si="42"/>
        <v>134</v>
      </c>
      <c r="AD278" s="1">
        <f t="shared" si="43"/>
        <v>436</v>
      </c>
      <c r="AE278" s="41">
        <f t="shared" si="34"/>
        <v>285</v>
      </c>
      <c r="AF278" s="55">
        <f t="shared" si="44"/>
        <v>233.05263157894737</v>
      </c>
      <c r="AJ278" s="13"/>
      <c r="AK278" s="18"/>
      <c r="AL278" s="1"/>
      <c r="AM278" s="1"/>
    </row>
    <row r="279" spans="2:39" ht="0.75" customHeight="1">
      <c r="B279" s="1">
        <v>80</v>
      </c>
      <c r="C279" s="13">
        <f t="shared" si="35"/>
        <v>0</v>
      </c>
      <c r="D279" s="1">
        <f t="shared" si="36"/>
        <v>544</v>
      </c>
      <c r="E279" s="41">
        <f t="shared" si="28"/>
        <v>106.66666666666667</v>
      </c>
      <c r="F279" s="55">
        <f t="shared" si="29"/>
        <v>183.7837837837838</v>
      </c>
      <c r="G279" s="55">
        <f t="shared" si="30"/>
        <v>198.4864864864865</v>
      </c>
      <c r="H279" s="1">
        <v>80</v>
      </c>
      <c r="I279" s="1">
        <f t="shared" si="37"/>
        <v>160</v>
      </c>
      <c r="J279" s="1">
        <f t="shared" si="38"/>
        <v>228</v>
      </c>
      <c r="K279" s="41">
        <f t="shared" si="31"/>
        <v>208.57142857142856</v>
      </c>
      <c r="L279" s="55">
        <f t="shared" si="32"/>
        <v>183.7837837837838</v>
      </c>
      <c r="M279" s="55"/>
      <c r="N279" s="55"/>
      <c r="O279" s="55"/>
      <c r="P279" s="55"/>
      <c r="Q279" s="55"/>
      <c r="R279" s="55"/>
      <c r="S279" s="55"/>
      <c r="U279" s="1">
        <v>80</v>
      </c>
      <c r="V279" s="1">
        <f t="shared" si="39"/>
        <v>0</v>
      </c>
      <c r="W279" s="1">
        <f t="shared" si="40"/>
        <v>522</v>
      </c>
      <c r="X279" s="41">
        <f t="shared" si="33"/>
        <v>144</v>
      </c>
      <c r="Y279" s="55">
        <f t="shared" si="41"/>
        <v>233.05263157894737</v>
      </c>
      <c r="Z279" s="55"/>
      <c r="AA279" s="55"/>
      <c r="AB279" s="1">
        <v>80</v>
      </c>
      <c r="AC279" s="1">
        <f t="shared" si="42"/>
        <v>130</v>
      </c>
      <c r="AD279" s="1">
        <f t="shared" si="43"/>
        <v>440</v>
      </c>
      <c r="AE279" s="41">
        <f t="shared" si="34"/>
        <v>285</v>
      </c>
      <c r="AF279" s="55">
        <f t="shared" si="44"/>
        <v>233.05263157894737</v>
      </c>
      <c r="AJ279" s="13"/>
      <c r="AK279" s="18"/>
      <c r="AL279" s="1"/>
      <c r="AM279" s="1"/>
    </row>
    <row r="280" spans="2:39" ht="0.75" customHeight="1">
      <c r="B280" s="1">
        <v>81</v>
      </c>
      <c r="C280" s="13">
        <f t="shared" si="35"/>
        <v>0</v>
      </c>
      <c r="D280" s="1">
        <f t="shared" si="36"/>
        <v>550.4</v>
      </c>
      <c r="E280" s="41">
        <f t="shared" si="28"/>
        <v>106.66666666666667</v>
      </c>
      <c r="F280" s="55">
        <f t="shared" si="29"/>
        <v>183.7837837837838</v>
      </c>
      <c r="G280" s="55">
        <f t="shared" si="30"/>
        <v>198.4864864864865</v>
      </c>
      <c r="H280" s="1">
        <v>81</v>
      </c>
      <c r="I280" s="1">
        <f t="shared" si="37"/>
        <v>156</v>
      </c>
      <c r="J280" s="1">
        <f t="shared" si="38"/>
        <v>229.6</v>
      </c>
      <c r="K280" s="41">
        <f t="shared" si="31"/>
        <v>208.57142857142856</v>
      </c>
      <c r="L280" s="55">
        <f t="shared" si="32"/>
        <v>183.7837837837838</v>
      </c>
      <c r="M280" s="55"/>
      <c r="N280" s="55"/>
      <c r="O280" s="55"/>
      <c r="P280" s="55"/>
      <c r="Q280" s="55"/>
      <c r="R280" s="55"/>
      <c r="S280" s="55"/>
      <c r="U280" s="1">
        <v>81</v>
      </c>
      <c r="V280" s="1">
        <f t="shared" si="39"/>
        <v>0</v>
      </c>
      <c r="W280" s="1">
        <f t="shared" si="40"/>
        <v>528</v>
      </c>
      <c r="X280" s="41">
        <f t="shared" si="33"/>
        <v>144</v>
      </c>
      <c r="Y280" s="55">
        <f t="shared" si="41"/>
        <v>233.05263157894737</v>
      </c>
      <c r="Z280" s="55"/>
      <c r="AA280" s="55"/>
      <c r="AB280" s="1">
        <v>81</v>
      </c>
      <c r="AC280" s="1">
        <f t="shared" si="42"/>
        <v>126</v>
      </c>
      <c r="AD280" s="1">
        <f t="shared" si="43"/>
        <v>444</v>
      </c>
      <c r="AE280" s="41">
        <f t="shared" si="34"/>
        <v>285</v>
      </c>
      <c r="AF280" s="55">
        <f t="shared" si="44"/>
        <v>233.05263157894737</v>
      </c>
      <c r="AJ280" s="13"/>
      <c r="AK280" s="18"/>
      <c r="AL280" s="1"/>
      <c r="AM280" s="1"/>
    </row>
    <row r="281" spans="2:39" ht="0.75" customHeight="1">
      <c r="B281" s="1">
        <v>82</v>
      </c>
      <c r="C281" s="13">
        <f t="shared" si="35"/>
        <v>0</v>
      </c>
      <c r="D281" s="1">
        <f t="shared" si="36"/>
        <v>556.8000000000001</v>
      </c>
      <c r="E281" s="41">
        <f t="shared" si="28"/>
        <v>106.66666666666667</v>
      </c>
      <c r="F281" s="55">
        <f t="shared" si="29"/>
        <v>183.7837837837838</v>
      </c>
      <c r="G281" s="55">
        <f t="shared" si="30"/>
        <v>198.4864864864865</v>
      </c>
      <c r="H281" s="1">
        <v>82</v>
      </c>
      <c r="I281" s="1">
        <f t="shared" si="37"/>
        <v>152</v>
      </c>
      <c r="J281" s="1">
        <f t="shared" si="38"/>
        <v>231.20000000000002</v>
      </c>
      <c r="K281" s="41">
        <f t="shared" si="31"/>
        <v>208.57142857142856</v>
      </c>
      <c r="L281" s="55">
        <f t="shared" si="32"/>
        <v>183.7837837837838</v>
      </c>
      <c r="M281" s="55"/>
      <c r="N281" s="55"/>
      <c r="O281" s="55"/>
      <c r="P281" s="55"/>
      <c r="Q281" s="55"/>
      <c r="R281" s="55"/>
      <c r="S281" s="55"/>
      <c r="U281" s="1">
        <v>82</v>
      </c>
      <c r="V281" s="1">
        <f t="shared" si="39"/>
        <v>0</v>
      </c>
      <c r="W281" s="1">
        <f t="shared" si="40"/>
        <v>534</v>
      </c>
      <c r="X281" s="41">
        <f t="shared" si="33"/>
        <v>144</v>
      </c>
      <c r="Y281" s="55">
        <f t="shared" si="41"/>
        <v>233.05263157894737</v>
      </c>
      <c r="Z281" s="55"/>
      <c r="AA281" s="55"/>
      <c r="AB281" s="1">
        <v>82</v>
      </c>
      <c r="AC281" s="1">
        <f t="shared" si="42"/>
        <v>122</v>
      </c>
      <c r="AD281" s="1">
        <f t="shared" si="43"/>
        <v>448</v>
      </c>
      <c r="AE281" s="41">
        <f t="shared" si="34"/>
        <v>285</v>
      </c>
      <c r="AF281" s="55">
        <f t="shared" si="44"/>
        <v>233.05263157894737</v>
      </c>
      <c r="AJ281" s="13"/>
      <c r="AK281" s="18"/>
      <c r="AL281" s="1"/>
      <c r="AM281" s="1"/>
    </row>
    <row r="282" spans="36:39" ht="12.75">
      <c r="AJ282" s="13"/>
      <c r="AK282" s="18"/>
      <c r="AL282" s="1"/>
      <c r="AM282" s="1"/>
    </row>
    <row r="283" spans="36:39" ht="12.75">
      <c r="AJ283" s="13"/>
      <c r="AK283" s="18"/>
      <c r="AL283" s="1"/>
      <c r="AM283" s="1"/>
    </row>
    <row r="284" spans="36:39" ht="12.75">
      <c r="AJ284" s="13"/>
      <c r="AK284" s="18"/>
      <c r="AL284" s="1"/>
      <c r="AM284" s="1"/>
    </row>
    <row r="285" spans="36:39" ht="12.75">
      <c r="AJ285" s="13"/>
      <c r="AK285" s="18"/>
      <c r="AL285" s="1"/>
      <c r="AM285" s="1"/>
    </row>
    <row r="286" spans="36:39" ht="12.75">
      <c r="AJ286" s="13"/>
      <c r="AK286" s="13"/>
      <c r="AL286" s="18"/>
      <c r="AM286" s="1"/>
    </row>
    <row r="287" spans="37:39" ht="12.75">
      <c r="AK287" s="13"/>
      <c r="AL287" s="18"/>
      <c r="AM287" s="1"/>
    </row>
    <row r="288" spans="37:39" ht="12.75">
      <c r="AK288" s="13"/>
      <c r="AL288" s="18"/>
      <c r="AM288" s="1"/>
    </row>
    <row r="289" spans="37:39" ht="12.75">
      <c r="AK289" s="13"/>
      <c r="AL289" s="18"/>
      <c r="AM289" s="1"/>
    </row>
    <row r="290" spans="37:39" ht="12.75">
      <c r="AK290" s="13"/>
      <c r="AL290" s="18"/>
      <c r="AM290" s="1"/>
    </row>
    <row r="291" spans="37:39" ht="12.75">
      <c r="AK291" s="13"/>
      <c r="AL291" s="18"/>
      <c r="AM291" s="1"/>
    </row>
    <row r="292" spans="37:39" ht="12.75">
      <c r="AK292" s="13"/>
      <c r="AL292" s="18"/>
      <c r="AM292" s="1"/>
    </row>
    <row r="293" spans="37:39" ht="12.75">
      <c r="AK293" s="13"/>
      <c r="AL293" s="18"/>
      <c r="AM293" s="1"/>
    </row>
    <row r="294" spans="37:39" ht="12.75">
      <c r="AK294" s="13"/>
      <c r="AL294" s="18"/>
      <c r="AM294" s="1"/>
    </row>
    <row r="295" spans="37:39" ht="12.75">
      <c r="AK295" s="13"/>
      <c r="AL295" s="18"/>
      <c r="AM295" s="1"/>
    </row>
    <row r="296" spans="37:39" ht="12.75">
      <c r="AK296" s="13"/>
      <c r="AL296" s="18"/>
      <c r="AM296" s="1"/>
    </row>
    <row r="297" spans="37:39" ht="12.75">
      <c r="AK297" s="13"/>
      <c r="AL297" s="18"/>
      <c r="AM297" s="1"/>
    </row>
    <row r="298" spans="37:39" ht="12.75">
      <c r="AK298" s="13"/>
      <c r="AL298" s="18"/>
      <c r="AM298" s="1"/>
    </row>
    <row r="299" spans="37:39" ht="12.75">
      <c r="AK299" s="13"/>
      <c r="AL299" s="18"/>
      <c r="AM299" s="1"/>
    </row>
    <row r="300" spans="37:39" ht="12.75">
      <c r="AK300" s="13"/>
      <c r="AL300" s="18"/>
      <c r="AM300" s="1"/>
    </row>
    <row r="301" spans="37:39" ht="12.75">
      <c r="AK301" s="13"/>
      <c r="AL301" s="18"/>
      <c r="AM301" s="1"/>
    </row>
    <row r="302" spans="37:39" ht="12.75">
      <c r="AK302" s="13"/>
      <c r="AL302" s="18"/>
      <c r="AM302" s="1"/>
    </row>
    <row r="303" spans="37:39" ht="12.75">
      <c r="AK303" s="13"/>
      <c r="AL303" s="18"/>
      <c r="AM303" s="1"/>
    </row>
    <row r="304" spans="37:39" ht="12.75">
      <c r="AK304" s="13"/>
      <c r="AL304" s="18"/>
      <c r="AM304" s="1"/>
    </row>
    <row r="305" spans="37:39" ht="12.75">
      <c r="AK305" s="13"/>
      <c r="AL305" s="18"/>
      <c r="AM305" s="1"/>
    </row>
    <row r="306" spans="37:39" ht="12.75">
      <c r="AK306" s="13"/>
      <c r="AL306" s="18"/>
      <c r="AM306" s="1"/>
    </row>
    <row r="307" spans="37:39" ht="12.75">
      <c r="AK307" s="13"/>
      <c r="AL307" s="18"/>
      <c r="AM307" s="1"/>
    </row>
    <row r="308" spans="37:39" ht="12.75">
      <c r="AK308" s="13"/>
      <c r="AL308" s="18"/>
      <c r="AM308" s="1"/>
    </row>
    <row r="309" spans="37:39" ht="12.75">
      <c r="AK309" s="13"/>
      <c r="AL309" s="18"/>
      <c r="AM309" s="1"/>
    </row>
    <row r="310" spans="37:39" ht="12.75">
      <c r="AK310" s="13"/>
      <c r="AL310" s="18"/>
      <c r="AM310" s="1"/>
    </row>
    <row r="311" spans="37:39" ht="12.75">
      <c r="AK311" s="13"/>
      <c r="AL311" s="18"/>
      <c r="AM311" s="1"/>
    </row>
    <row r="312" spans="37:39" ht="12.75">
      <c r="AK312" s="13"/>
      <c r="AL312" s="18"/>
      <c r="AM312" s="1"/>
    </row>
    <row r="313" spans="37:39" ht="12.75">
      <c r="AK313" s="13"/>
      <c r="AL313" s="18"/>
      <c r="AM313" s="1"/>
    </row>
    <row r="314" spans="37:39" ht="12.75">
      <c r="AK314" s="13"/>
      <c r="AL314" s="18"/>
      <c r="AM314" s="1"/>
    </row>
    <row r="315" spans="37:39" ht="12.75">
      <c r="AK315" s="13"/>
      <c r="AL315" s="18"/>
      <c r="AM315" s="1"/>
    </row>
    <row r="316" spans="37:39" ht="12.75">
      <c r="AK316" s="13"/>
      <c r="AL316" s="18"/>
      <c r="AM316" s="1"/>
    </row>
    <row r="317" spans="37:39" ht="12.75">
      <c r="AK317" s="13"/>
      <c r="AL317" s="18"/>
      <c r="AM317" s="1"/>
    </row>
    <row r="318" spans="37:39" ht="12.75">
      <c r="AK318" s="13"/>
      <c r="AL318" s="18"/>
      <c r="AM318" s="1"/>
    </row>
    <row r="319" spans="37:39" ht="12.75">
      <c r="AK319" s="13"/>
      <c r="AL319" s="18"/>
      <c r="AM319" s="1"/>
    </row>
    <row r="320" spans="37:39" ht="12.75">
      <c r="AK320" s="13"/>
      <c r="AL320" s="18"/>
      <c r="AM320" s="1"/>
    </row>
    <row r="321" spans="37:39" ht="12.75">
      <c r="AK321" s="13"/>
      <c r="AL321" s="18"/>
      <c r="AM321" s="1"/>
    </row>
    <row r="322" spans="37:39" ht="12.75">
      <c r="AK322" s="13"/>
      <c r="AL322" s="18"/>
      <c r="AM322" s="1"/>
    </row>
    <row r="323" spans="37:39" ht="12.75">
      <c r="AK323" s="13"/>
      <c r="AL323" s="18"/>
      <c r="AM323" s="1"/>
    </row>
    <row r="324" spans="37:39" ht="12.75">
      <c r="AK324" s="13"/>
      <c r="AL324" s="18"/>
      <c r="AM324" s="1"/>
    </row>
    <row r="325" spans="37:39" ht="12.75">
      <c r="AK325" s="13"/>
      <c r="AL325" s="18"/>
      <c r="AM325" s="1"/>
    </row>
    <row r="326" spans="37:39" ht="12.75">
      <c r="AK326" s="13"/>
      <c r="AL326" s="18"/>
      <c r="AM326" s="1"/>
    </row>
    <row r="327" spans="37:39" ht="12.75">
      <c r="AK327" s="13"/>
      <c r="AL327" s="18"/>
      <c r="AM327" s="1"/>
    </row>
    <row r="328" spans="37:39" ht="12.75">
      <c r="AK328" s="13"/>
      <c r="AL328" s="18"/>
      <c r="AM328" s="1"/>
    </row>
    <row r="329" spans="37:39" ht="12.75">
      <c r="AK329" s="13"/>
      <c r="AL329" s="18"/>
      <c r="AM329" s="1"/>
    </row>
    <row r="330" spans="37:39" ht="12.75">
      <c r="AK330" s="13"/>
      <c r="AL330" s="18"/>
      <c r="AM330" s="1"/>
    </row>
    <row r="331" spans="37:39" ht="12.75">
      <c r="AK331" s="13"/>
      <c r="AL331" s="18"/>
      <c r="AM331" s="1"/>
    </row>
    <row r="332" spans="37:39" ht="12.75">
      <c r="AK332" s="13"/>
      <c r="AL332" s="18"/>
      <c r="AM332" s="1"/>
    </row>
    <row r="333" spans="37:39" ht="12.75">
      <c r="AK333" s="13"/>
      <c r="AL333" s="18"/>
      <c r="AM333" s="1"/>
    </row>
    <row r="334" spans="37:39" ht="12.75">
      <c r="AK334" s="13"/>
      <c r="AL334" s="18"/>
      <c r="AM334" s="1"/>
    </row>
    <row r="335" spans="37:39" ht="12.75">
      <c r="AK335" s="13"/>
      <c r="AL335" s="18"/>
      <c r="AM335" s="1"/>
    </row>
    <row r="336" spans="37:39" ht="12.75">
      <c r="AK336" s="13"/>
      <c r="AL336" s="18"/>
      <c r="AM336" s="1"/>
    </row>
    <row r="337" spans="37:39" ht="12.75">
      <c r="AK337" s="13"/>
      <c r="AL337" s="18"/>
      <c r="AM337" s="1"/>
    </row>
    <row r="338" spans="37:39" ht="12.75">
      <c r="AK338" s="13"/>
      <c r="AL338" s="18"/>
      <c r="AM338" s="1"/>
    </row>
    <row r="339" spans="37:39" ht="12.75">
      <c r="AK339" s="13"/>
      <c r="AL339" s="18"/>
      <c r="AM339" s="1"/>
    </row>
    <row r="340" spans="37:39" ht="12.75">
      <c r="AK340" s="13"/>
      <c r="AL340" s="18"/>
      <c r="AM340" s="1"/>
    </row>
    <row r="341" spans="37:39" ht="12.75">
      <c r="AK341" s="13"/>
      <c r="AL341" s="18"/>
      <c r="AM341" s="1"/>
    </row>
    <row r="342" spans="37:39" ht="12.75">
      <c r="AK342" s="13"/>
      <c r="AL342" s="18"/>
      <c r="AM342" s="1"/>
    </row>
    <row r="343" spans="37:39" ht="12.75">
      <c r="AK343" s="13"/>
      <c r="AL343" s="18"/>
      <c r="AM343" s="1"/>
    </row>
    <row r="344" spans="37:39" ht="12.75">
      <c r="AK344" s="13"/>
      <c r="AL344" s="18"/>
      <c r="AM344" s="1"/>
    </row>
    <row r="345" spans="37:39" ht="12.75">
      <c r="AK345" s="13"/>
      <c r="AL345" s="18"/>
      <c r="AM345" s="1"/>
    </row>
    <row r="346" spans="37:39" ht="12.75">
      <c r="AK346" s="13"/>
      <c r="AL346" s="18"/>
      <c r="AM346" s="1"/>
    </row>
    <row r="347" spans="37:39" ht="12.75">
      <c r="AK347" s="13"/>
      <c r="AL347" s="18"/>
      <c r="AM347" s="1"/>
    </row>
    <row r="348" spans="37:39" ht="12.75">
      <c r="AK348" s="13"/>
      <c r="AL348" s="18"/>
      <c r="AM348" s="1"/>
    </row>
    <row r="349" spans="37:39" ht="12.75">
      <c r="AK349" s="13"/>
      <c r="AL349" s="18"/>
      <c r="AM349" s="1"/>
    </row>
    <row r="350" spans="37:39" ht="12.75">
      <c r="AK350" s="13"/>
      <c r="AL350" s="18"/>
      <c r="AM350" s="1"/>
    </row>
    <row r="351" spans="37:39" ht="12.75">
      <c r="AK351" s="13"/>
      <c r="AL351" s="18"/>
      <c r="AM351" s="1"/>
    </row>
  </sheetData>
  <printOptions/>
  <pageMargins left="0.3" right="0.3" top="0.6" bottom="0.6" header="0.5" footer="0.5"/>
  <pageSetup orientation="portrait" paperSize="9" scale="55"/>
  <headerFooter alignWithMargins="0">
    <oddHeader>&amp;L&amp;CTradeTariffEconomicsV2a.xls&amp;R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2006-01-02T16:42:31Z</cp:lastPrinted>
  <dcterms:created xsi:type="dcterms:W3CDTF">2005-11-09T20:51:23Z</dcterms:created>
  <cp:category/>
  <cp:version/>
  <cp:contentType/>
  <cp:contentStatus/>
</cp:coreProperties>
</file>